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ite VITUS\www vitus REVIZIJA - 2024\Stranice sajta\Download\"/>
    </mc:Choice>
  </mc:AlternateContent>
  <bookViews>
    <workbookView xWindow="-15" yWindow="-15" windowWidth="12570" windowHeight="13080"/>
  </bookViews>
  <sheets>
    <sheet name="GEOMETRIJA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AA10" i="1" l="1"/>
  <c r="W11" i="1"/>
  <c r="X11" i="1"/>
  <c r="Y11" i="1"/>
  <c r="AA11" i="1"/>
  <c r="W12" i="1"/>
  <c r="X12" i="1"/>
  <c r="Y12" i="1"/>
  <c r="AA12" i="1"/>
  <c r="W13" i="1"/>
  <c r="X13" i="1"/>
  <c r="Y13" i="1"/>
  <c r="AA13" i="1"/>
  <c r="W14" i="1"/>
  <c r="X14" i="1"/>
  <c r="Y14" i="1"/>
  <c r="AA14" i="1"/>
  <c r="Y15" i="1"/>
  <c r="AB15" i="1"/>
  <c r="Y16" i="1"/>
  <c r="AB16" i="1"/>
  <c r="W17" i="1"/>
  <c r="X17" i="1"/>
  <c r="AA17" i="1" s="1"/>
  <c r="Y17" i="1"/>
  <c r="W18" i="1"/>
  <c r="X18" i="1"/>
  <c r="AA18" i="1" s="1"/>
  <c r="Y18" i="1"/>
  <c r="J19" i="1"/>
  <c r="W15" i="1" s="1"/>
  <c r="K19" i="1"/>
  <c r="X15" i="1" s="1"/>
  <c r="L19" i="1"/>
  <c r="AB19" i="1"/>
  <c r="AB20" i="1"/>
  <c r="J21" i="1"/>
  <c r="K21" i="1"/>
  <c r="L21" i="1"/>
  <c r="W21" i="1"/>
  <c r="X21" i="1"/>
  <c r="Y21" i="1"/>
  <c r="AA21" i="1"/>
  <c r="W22" i="1"/>
  <c r="X22" i="1"/>
  <c r="Y22" i="1"/>
  <c r="AA22" i="1"/>
  <c r="W23" i="1"/>
  <c r="X23" i="1"/>
  <c r="Y23" i="1"/>
  <c r="AA23" i="1"/>
  <c r="W24" i="1"/>
  <c r="X24" i="1"/>
  <c r="Y24" i="1"/>
  <c r="AA24" i="1"/>
  <c r="J26" i="1"/>
  <c r="W16" i="1" s="1"/>
  <c r="K26" i="1"/>
  <c r="X16" i="1" s="1"/>
  <c r="L26" i="1"/>
  <c r="AB26" i="1"/>
  <c r="W27" i="1"/>
  <c r="X27" i="1"/>
  <c r="Y27" i="1"/>
  <c r="AA27" i="1"/>
  <c r="W28" i="1"/>
  <c r="X28" i="1"/>
  <c r="Y28" i="1"/>
  <c r="AA28" i="1"/>
  <c r="AB29" i="1"/>
  <c r="AB31" i="1"/>
  <c r="J32" i="1"/>
  <c r="K32" i="1"/>
  <c r="L32" i="1"/>
  <c r="W32" i="1"/>
  <c r="X32" i="1"/>
  <c r="Y32" i="1"/>
  <c r="AA32" i="1"/>
  <c r="AB32" i="1"/>
  <c r="AB33" i="1"/>
  <c r="J34" i="1"/>
  <c r="K34" i="1"/>
  <c r="L34" i="1"/>
  <c r="AB34" i="1"/>
  <c r="J35" i="1"/>
  <c r="W19" i="1" s="1"/>
  <c r="K35" i="1"/>
  <c r="X19" i="1" s="1"/>
  <c r="L35" i="1"/>
  <c r="Y19" i="1" s="1"/>
  <c r="W35" i="1"/>
  <c r="X35" i="1"/>
  <c r="AA35" i="1" s="1"/>
  <c r="Y35" i="1"/>
  <c r="AB35" i="1"/>
  <c r="J36" i="1"/>
  <c r="K36" i="1"/>
  <c r="L36" i="1"/>
  <c r="W36" i="1"/>
  <c r="X36" i="1"/>
  <c r="AA36" i="1" s="1"/>
  <c r="Y36" i="1"/>
  <c r="AB36" i="1"/>
  <c r="J37" i="1"/>
  <c r="W20" i="1" s="1"/>
  <c r="K37" i="1"/>
  <c r="X20" i="1" s="1"/>
  <c r="AA20" i="1" s="1"/>
  <c r="O68" i="1" s="1"/>
  <c r="L37" i="1"/>
  <c r="Y20" i="1" s="1"/>
  <c r="AB37" i="1"/>
  <c r="J38" i="1"/>
  <c r="K38" i="1"/>
  <c r="L38" i="1"/>
  <c r="W38" i="1"/>
  <c r="X38" i="1"/>
  <c r="AA38" i="1" s="1"/>
  <c r="Y38" i="1"/>
  <c r="AB39" i="1"/>
  <c r="J40" i="1"/>
  <c r="K40" i="1"/>
  <c r="L40" i="1"/>
  <c r="AB40" i="1"/>
  <c r="Y41" i="1"/>
  <c r="AB41" i="1"/>
  <c r="Y42" i="1"/>
  <c r="AB42" i="1"/>
  <c r="J43" i="1"/>
  <c r="K43" i="1"/>
  <c r="L43" i="1"/>
  <c r="AA43" i="1"/>
  <c r="J44" i="1"/>
  <c r="K44" i="1"/>
  <c r="L44" i="1"/>
  <c r="V44" i="1"/>
  <c r="V45" i="1"/>
  <c r="V46" i="1"/>
  <c r="J47" i="1"/>
  <c r="K47" i="1"/>
  <c r="X29" i="1" s="1"/>
  <c r="AA29" i="1" s="1"/>
  <c r="L47" i="1"/>
  <c r="Y29" i="1" s="1"/>
  <c r="O47" i="1"/>
  <c r="W47" i="1"/>
  <c r="K48" i="1"/>
  <c r="X31" i="1" s="1"/>
  <c r="AA31" i="1" s="1"/>
  <c r="K49" i="1"/>
  <c r="O49" i="1"/>
  <c r="J50" i="1"/>
  <c r="K50" i="1"/>
  <c r="L50" i="1"/>
  <c r="J51" i="1"/>
  <c r="W25" i="1" s="1"/>
  <c r="K51" i="1"/>
  <c r="X25" i="1" s="1"/>
  <c r="AA25" i="1" s="1"/>
  <c r="L51" i="1"/>
  <c r="Y25" i="1" s="1"/>
  <c r="J52" i="1"/>
  <c r="W26" i="1" s="1"/>
  <c r="L52" i="1"/>
  <c r="Y26" i="1" s="1"/>
  <c r="K53" i="1"/>
  <c r="X30" i="1" s="1"/>
  <c r="AA30" i="1" s="1"/>
  <c r="J55" i="1"/>
  <c r="K55" i="1"/>
  <c r="L55" i="1"/>
  <c r="S60" i="1"/>
  <c r="S61" i="1"/>
  <c r="J62" i="1"/>
  <c r="K62" i="1"/>
  <c r="L62" i="1"/>
  <c r="Y63" i="1"/>
  <c r="J64" i="1"/>
  <c r="K64" i="1"/>
  <c r="L64" i="1"/>
  <c r="Y64" i="1"/>
  <c r="J65" i="1"/>
  <c r="W33" i="1" s="1"/>
  <c r="K65" i="1"/>
  <c r="X33" i="1" s="1"/>
  <c r="AA33" i="1" s="1"/>
  <c r="L65" i="1"/>
  <c r="Y33" i="1" s="1"/>
  <c r="T65" i="1"/>
  <c r="X65" i="1"/>
  <c r="Y65" i="1"/>
  <c r="Y66" i="1" s="1"/>
  <c r="Z65" i="1"/>
  <c r="J66" i="1"/>
  <c r="W34" i="1" s="1"/>
  <c r="K66" i="1"/>
  <c r="X34" i="1" s="1"/>
  <c r="AA34" i="1" s="1"/>
  <c r="L66" i="1"/>
  <c r="Z66" i="1"/>
  <c r="AA66" i="1"/>
  <c r="J67" i="1"/>
  <c r="L67" i="1"/>
  <c r="O67" i="1"/>
  <c r="J68" i="1"/>
  <c r="K68" i="1"/>
  <c r="P68" i="1"/>
  <c r="T68" i="1"/>
  <c r="Z68" i="1" s="1"/>
  <c r="Y68" i="1"/>
  <c r="J69" i="1"/>
  <c r="K69" i="1"/>
  <c r="L69" i="1"/>
  <c r="AB69" i="1"/>
  <c r="J70" i="1"/>
  <c r="K70" i="1"/>
  <c r="L70" i="1"/>
  <c r="AB71" i="1"/>
  <c r="AB73" i="1"/>
  <c r="H74" i="1"/>
  <c r="I74" i="1"/>
  <c r="J74" i="1"/>
  <c r="W44" i="1" s="1"/>
  <c r="H75" i="1"/>
  <c r="I75" i="1"/>
  <c r="H76" i="1"/>
  <c r="I76" i="1"/>
  <c r="J76" i="1"/>
  <c r="W46" i="1" s="1"/>
  <c r="AB76" i="1"/>
  <c r="J78" i="1"/>
  <c r="K78" i="1"/>
  <c r="L78" i="1"/>
  <c r="J80" i="1"/>
  <c r="W39" i="1" s="1"/>
  <c r="K80" i="1"/>
  <c r="L80" i="1"/>
  <c r="Y39" i="1" s="1"/>
  <c r="J81" i="1"/>
  <c r="W40" i="1" s="1"/>
  <c r="L81" i="1"/>
  <c r="Y40" i="1" s="1"/>
  <c r="J82" i="1"/>
  <c r="W37" i="1" s="1"/>
  <c r="K82" i="1"/>
  <c r="X37" i="1" s="1"/>
  <c r="AA37" i="1" s="1"/>
  <c r="L82" i="1"/>
  <c r="Y37" i="1" s="1"/>
  <c r="K84" i="1"/>
  <c r="L84" i="1"/>
  <c r="AB84" i="1"/>
  <c r="AB88" i="1"/>
  <c r="J89" i="1"/>
  <c r="J91" i="1" s="1"/>
  <c r="K89" i="1"/>
  <c r="L89" i="1"/>
  <c r="X89" i="1"/>
  <c r="AB89" i="1"/>
  <c r="X90" i="1"/>
  <c r="AB90" i="1"/>
  <c r="K91" i="1"/>
  <c r="L91" i="1"/>
  <c r="X91" i="1"/>
  <c r="AB91" i="1"/>
  <c r="X92" i="1"/>
  <c r="AB92" i="1"/>
  <c r="X93" i="1"/>
  <c r="AB93" i="1"/>
  <c r="AB94" i="1"/>
  <c r="AB95" i="1"/>
  <c r="AB96" i="1"/>
  <c r="X96" i="1" s="1"/>
  <c r="AB97" i="1"/>
  <c r="X97" i="1" s="1"/>
  <c r="AB98" i="1"/>
  <c r="X99" i="1"/>
  <c r="AB99" i="1"/>
  <c r="X100" i="1"/>
  <c r="AB100" i="1"/>
  <c r="X101" i="1"/>
  <c r="AB101" i="1"/>
  <c r="AB102" i="1"/>
  <c r="AB103" i="1"/>
  <c r="AB104" i="1"/>
  <c r="X104" i="1" s="1"/>
  <c r="AB105" i="1"/>
  <c r="X105" i="1" s="1"/>
  <c r="AB106" i="1"/>
  <c r="X107" i="1"/>
  <c r="AB107" i="1"/>
  <c r="AB108" i="1"/>
  <c r="X108" i="1" s="1"/>
  <c r="AB109" i="1"/>
  <c r="X109" i="1" s="1"/>
  <c r="Y110" i="1"/>
  <c r="Y67" i="1" s="1"/>
  <c r="Z110" i="1"/>
  <c r="Z67" i="1" s="1"/>
  <c r="AA110" i="1"/>
  <c r="AA67" i="1" s="1"/>
  <c r="O111" i="1"/>
  <c r="Y111" i="1"/>
  <c r="Z113" i="1"/>
  <c r="W41" i="1" l="1"/>
  <c r="W42" i="1"/>
  <c r="X39" i="1"/>
  <c r="AA39" i="1" s="1"/>
  <c r="K81" i="1"/>
  <c r="X40" i="1" s="1"/>
  <c r="AA40" i="1" s="1"/>
  <c r="Y34" i="1"/>
  <c r="L68" i="1"/>
  <c r="AB72" i="1"/>
  <c r="AB77" i="1"/>
  <c r="X77" i="1" s="1"/>
  <c r="AB70" i="1"/>
  <c r="AB78" i="1"/>
  <c r="X78" i="1" s="1"/>
  <c r="AB83" i="1"/>
  <c r="AB85" i="1"/>
  <c r="X85" i="1" s="1"/>
  <c r="AB82" i="1"/>
  <c r="AB81" i="1"/>
  <c r="AB80" i="1"/>
  <c r="AB74" i="1"/>
  <c r="X70" i="1"/>
  <c r="J48" i="1"/>
  <c r="W29" i="1"/>
  <c r="Q68" i="1"/>
  <c r="U68" i="1"/>
  <c r="AA68" i="1" s="1"/>
  <c r="P71" i="1"/>
  <c r="P74" i="1"/>
  <c r="P76" i="1"/>
  <c r="S68" i="1"/>
  <c r="W68" i="1"/>
  <c r="P73" i="1"/>
  <c r="P75" i="1"/>
  <c r="P80" i="1"/>
  <c r="P82" i="1"/>
  <c r="P84" i="1"/>
  <c r="V68" i="1"/>
  <c r="P72" i="1"/>
  <c r="P78" i="1"/>
  <c r="P85" i="1"/>
  <c r="P86" i="1"/>
  <c r="P88" i="1"/>
  <c r="P94" i="1"/>
  <c r="P98" i="1"/>
  <c r="P102" i="1"/>
  <c r="O46" i="1"/>
  <c r="X71" i="1"/>
  <c r="X74" i="1"/>
  <c r="X76" i="1"/>
  <c r="X73" i="1"/>
  <c r="X80" i="1"/>
  <c r="X82" i="1"/>
  <c r="X84" i="1"/>
  <c r="X72" i="1"/>
  <c r="X83" i="1"/>
  <c r="X88" i="1"/>
  <c r="X94" i="1"/>
  <c r="X98" i="1"/>
  <c r="X102" i="1"/>
  <c r="X106" i="1"/>
  <c r="P106" i="1"/>
  <c r="X103" i="1"/>
  <c r="P99" i="1"/>
  <c r="X95" i="1"/>
  <c r="P91" i="1"/>
  <c r="AB87" i="1"/>
  <c r="X87" i="1" s="1"/>
  <c r="AB86" i="1"/>
  <c r="X86" i="1" s="1"/>
  <c r="X81" i="1"/>
  <c r="P81" i="1"/>
  <c r="AB79" i="1"/>
  <c r="X79" i="1" s="1"/>
  <c r="P77" i="1"/>
  <c r="AB75" i="1"/>
  <c r="X75" i="1" s="1"/>
  <c r="X69" i="1"/>
  <c r="R68" i="1"/>
  <c r="P67" i="1"/>
  <c r="T63" i="1"/>
  <c r="Z63" i="1" s="1"/>
  <c r="Z111" i="1" s="1"/>
  <c r="U63" i="1"/>
  <c r="AA63" i="1" s="1"/>
  <c r="AA111" i="1" s="1"/>
  <c r="AA15" i="1"/>
  <c r="X42" i="1"/>
  <c r="AA42" i="1" s="1"/>
  <c r="X41" i="1"/>
  <c r="AA41" i="1" s="1"/>
  <c r="AA16" i="1"/>
  <c r="K67" i="1"/>
  <c r="L48" i="1"/>
  <c r="K52" i="1"/>
  <c r="AA19" i="1"/>
  <c r="Y43" i="1" s="1"/>
  <c r="V113" i="1" l="1"/>
  <c r="AA113" i="1" s="1"/>
  <c r="T82" i="1"/>
  <c r="S82" i="1"/>
  <c r="V82" i="1"/>
  <c r="Q82" i="1"/>
  <c r="R82" i="1"/>
  <c r="W31" i="1"/>
  <c r="J49" i="1"/>
  <c r="J53" i="1"/>
  <c r="W30" i="1" s="1"/>
  <c r="Q77" i="1"/>
  <c r="S77" i="1"/>
  <c r="R77" i="1"/>
  <c r="T77" i="1"/>
  <c r="V77" i="1"/>
  <c r="Q99" i="1"/>
  <c r="U99" i="1"/>
  <c r="V99" i="1"/>
  <c r="R99" i="1"/>
  <c r="W99" i="1"/>
  <c r="S99" i="1"/>
  <c r="T99" i="1"/>
  <c r="T88" i="1"/>
  <c r="S88" i="1"/>
  <c r="U88" i="1"/>
  <c r="Q88" i="1"/>
  <c r="V88" i="1"/>
  <c r="R88" i="1"/>
  <c r="W88" i="1"/>
  <c r="Q72" i="1"/>
  <c r="S72" i="1"/>
  <c r="T72" i="1"/>
  <c r="V72" i="1"/>
  <c r="R72" i="1"/>
  <c r="T80" i="1"/>
  <c r="Q80" i="1"/>
  <c r="R80" i="1"/>
  <c r="S80" i="1"/>
  <c r="V80" i="1"/>
  <c r="AB67" i="1"/>
  <c r="X63" i="1" s="1"/>
  <c r="S78" i="1"/>
  <c r="Q78" i="1"/>
  <c r="T78" i="1"/>
  <c r="V78" i="1"/>
  <c r="R78" i="1"/>
  <c r="T71" i="1"/>
  <c r="R71" i="1"/>
  <c r="V71" i="1"/>
  <c r="S71" i="1"/>
  <c r="U71" i="1"/>
  <c r="U77" i="1" s="1"/>
  <c r="W71" i="1"/>
  <c r="W77" i="1" s="1"/>
  <c r="Q71" i="1"/>
  <c r="R75" i="1"/>
  <c r="V75" i="1"/>
  <c r="T75" i="1"/>
  <c r="Q75" i="1"/>
  <c r="S75" i="1"/>
  <c r="T76" i="1"/>
  <c r="R76" i="1"/>
  <c r="V76" i="1"/>
  <c r="Q76" i="1"/>
  <c r="S76" i="1"/>
  <c r="T94" i="1"/>
  <c r="S94" i="1"/>
  <c r="U94" i="1"/>
  <c r="Q94" i="1"/>
  <c r="V94" i="1"/>
  <c r="W94" i="1"/>
  <c r="R94" i="1"/>
  <c r="X26" i="1"/>
  <c r="AA26" i="1" s="1"/>
  <c r="J75" i="1"/>
  <c r="W45" i="1" s="1"/>
  <c r="Z45" i="1" s="1"/>
  <c r="T102" i="1"/>
  <c r="S102" i="1"/>
  <c r="U102" i="1"/>
  <c r="Q102" i="1"/>
  <c r="V102" i="1"/>
  <c r="R102" i="1"/>
  <c r="W102" i="1"/>
  <c r="R86" i="1"/>
  <c r="V86" i="1"/>
  <c r="S86" i="1"/>
  <c r="T86" i="1"/>
  <c r="Q86" i="1"/>
  <c r="L53" i="1"/>
  <c r="Y30" i="1" s="1"/>
  <c r="Y31" i="1"/>
  <c r="L49" i="1"/>
  <c r="X67" i="1"/>
  <c r="R81" i="1"/>
  <c r="V81" i="1"/>
  <c r="Q81" i="1"/>
  <c r="S81" i="1"/>
  <c r="T81" i="1"/>
  <c r="Q91" i="1"/>
  <c r="U91" i="1"/>
  <c r="V91" i="1"/>
  <c r="R91" i="1"/>
  <c r="W91" i="1"/>
  <c r="S91" i="1"/>
  <c r="T91" i="1"/>
  <c r="T106" i="1"/>
  <c r="Q106" i="1"/>
  <c r="U106" i="1"/>
  <c r="R106" i="1"/>
  <c r="V106" i="1"/>
  <c r="S106" i="1"/>
  <c r="W106" i="1"/>
  <c r="T98" i="1"/>
  <c r="Q98" i="1"/>
  <c r="V98" i="1"/>
  <c r="R98" i="1"/>
  <c r="W98" i="1"/>
  <c r="S98" i="1"/>
  <c r="U98" i="1"/>
  <c r="Q85" i="1"/>
  <c r="V85" i="1"/>
  <c r="R85" i="1"/>
  <c r="S85" i="1"/>
  <c r="T85" i="1"/>
  <c r="T84" i="1"/>
  <c r="Q84" i="1"/>
  <c r="V84" i="1"/>
  <c r="S84" i="1"/>
  <c r="R84" i="1"/>
  <c r="R73" i="1"/>
  <c r="V73" i="1"/>
  <c r="T73" i="1"/>
  <c r="S73" i="1"/>
  <c r="Q73" i="1"/>
  <c r="T74" i="1"/>
  <c r="R74" i="1"/>
  <c r="V74" i="1"/>
  <c r="Q74" i="1"/>
  <c r="S74" i="1"/>
  <c r="P87" i="1"/>
  <c r="P89" i="1"/>
  <c r="P90" i="1"/>
  <c r="P92" i="1"/>
  <c r="P93" i="1"/>
  <c r="P100" i="1"/>
  <c r="P101" i="1"/>
  <c r="P109" i="1"/>
  <c r="P70" i="1"/>
  <c r="P95" i="1"/>
  <c r="P103" i="1"/>
  <c r="P108" i="1"/>
  <c r="P69" i="1"/>
  <c r="Q69" i="1" s="1"/>
  <c r="P83" i="1"/>
  <c r="P79" i="1"/>
  <c r="P97" i="1"/>
  <c r="P107" i="1"/>
  <c r="P96" i="1"/>
  <c r="P105" i="1"/>
  <c r="P104" i="1"/>
  <c r="AC73" i="1" l="1"/>
  <c r="AC75" i="1"/>
  <c r="AC71" i="1"/>
  <c r="AC74" i="1"/>
  <c r="AC76" i="1"/>
  <c r="AC79" i="1"/>
  <c r="AC81" i="1"/>
  <c r="AC77" i="1"/>
  <c r="AC80" i="1"/>
  <c r="AC86" i="1"/>
  <c r="AC89" i="1"/>
  <c r="AC92" i="1"/>
  <c r="AC96" i="1"/>
  <c r="AC100" i="1"/>
  <c r="AC104" i="1"/>
  <c r="AC83" i="1"/>
  <c r="AC84" i="1"/>
  <c r="AC91" i="1"/>
  <c r="AC99" i="1"/>
  <c r="AC108" i="1"/>
  <c r="AC87" i="1"/>
  <c r="AC88" i="1"/>
  <c r="AC90" i="1"/>
  <c r="AC93" i="1"/>
  <c r="AC94" i="1"/>
  <c r="AC101" i="1"/>
  <c r="AC102" i="1"/>
  <c r="AC107" i="1"/>
  <c r="AC69" i="1"/>
  <c r="AC70" i="1"/>
  <c r="AC72" i="1"/>
  <c r="AC78" i="1"/>
  <c r="AC82" i="1"/>
  <c r="AC85" i="1"/>
  <c r="AC95" i="1"/>
  <c r="AC103" i="1"/>
  <c r="AC106" i="1"/>
  <c r="AC105" i="1"/>
  <c r="AC109" i="1"/>
  <c r="AC97" i="1"/>
  <c r="AC98" i="1"/>
  <c r="V114" i="1"/>
  <c r="R114" i="1" s="1"/>
  <c r="R96" i="1"/>
  <c r="V96" i="1"/>
  <c r="Q96" i="1"/>
  <c r="W96" i="1"/>
  <c r="S96" i="1"/>
  <c r="T96" i="1"/>
  <c r="U96" i="1"/>
  <c r="Q95" i="1"/>
  <c r="U95" i="1"/>
  <c r="S95" i="1"/>
  <c r="T95" i="1"/>
  <c r="V95" i="1"/>
  <c r="W95" i="1"/>
  <c r="R95" i="1"/>
  <c r="U73" i="1"/>
  <c r="U85" i="1"/>
  <c r="W75" i="1"/>
  <c r="Q107" i="1"/>
  <c r="U107" i="1"/>
  <c r="R107" i="1"/>
  <c r="V107" i="1"/>
  <c r="S107" i="1"/>
  <c r="W107" i="1"/>
  <c r="T107" i="1"/>
  <c r="S93" i="1"/>
  <c r="W93" i="1"/>
  <c r="T93" i="1"/>
  <c r="U93" i="1"/>
  <c r="Q93" i="1"/>
  <c r="V93" i="1"/>
  <c r="R93" i="1"/>
  <c r="R104" i="1"/>
  <c r="V104" i="1"/>
  <c r="Q104" i="1"/>
  <c r="W104" i="1"/>
  <c r="S104" i="1"/>
  <c r="T104" i="1"/>
  <c r="U104" i="1"/>
  <c r="O50" i="1"/>
  <c r="S109" i="1"/>
  <c r="W109" i="1"/>
  <c r="T109" i="1"/>
  <c r="Q109" i="1"/>
  <c r="U109" i="1"/>
  <c r="V109" i="1"/>
  <c r="R109" i="1"/>
  <c r="Q83" i="1"/>
  <c r="S83" i="1"/>
  <c r="R83" i="1"/>
  <c r="T83" i="1"/>
  <c r="U83" i="1" s="1"/>
  <c r="V83" i="1"/>
  <c r="W83" i="1"/>
  <c r="R100" i="1"/>
  <c r="V100" i="1"/>
  <c r="T100" i="1"/>
  <c r="U100" i="1"/>
  <c r="Q100" i="1"/>
  <c r="W100" i="1"/>
  <c r="S100" i="1"/>
  <c r="R89" i="1"/>
  <c r="V89" i="1"/>
  <c r="T89" i="1"/>
  <c r="U89" i="1"/>
  <c r="Q89" i="1"/>
  <c r="W89" i="1"/>
  <c r="S89" i="1"/>
  <c r="O61" i="1"/>
  <c r="AA61" i="1"/>
  <c r="S70" i="1"/>
  <c r="W70" i="1"/>
  <c r="Q70" i="1"/>
  <c r="U70" i="1"/>
  <c r="V70" i="1"/>
  <c r="T70" i="1"/>
  <c r="R70" i="1"/>
  <c r="S87" i="1"/>
  <c r="T87" i="1"/>
  <c r="U87" i="1" s="1"/>
  <c r="Q87" i="1"/>
  <c r="V87" i="1"/>
  <c r="W87" i="1" s="1"/>
  <c r="R87" i="1"/>
  <c r="S97" i="1"/>
  <c r="W97" i="1"/>
  <c r="Q97" i="1"/>
  <c r="V97" i="1"/>
  <c r="R97" i="1"/>
  <c r="T97" i="1"/>
  <c r="U97" i="1"/>
  <c r="R108" i="1"/>
  <c r="V108" i="1"/>
  <c r="S108" i="1"/>
  <c r="W108" i="1"/>
  <c r="T108" i="1"/>
  <c r="Q108" i="1"/>
  <c r="U108" i="1"/>
  <c r="R92" i="1"/>
  <c r="V92" i="1"/>
  <c r="T92" i="1"/>
  <c r="U92" i="1"/>
  <c r="Q92" i="1"/>
  <c r="W92" i="1"/>
  <c r="S92" i="1"/>
  <c r="W73" i="1"/>
  <c r="W85" i="1"/>
  <c r="W81" i="1"/>
  <c r="S105" i="1"/>
  <c r="W105" i="1"/>
  <c r="Q105" i="1"/>
  <c r="V105" i="1"/>
  <c r="R105" i="1"/>
  <c r="T105" i="1"/>
  <c r="U105" i="1"/>
  <c r="R79" i="1"/>
  <c r="V79" i="1"/>
  <c r="S79" i="1"/>
  <c r="Q79" i="1"/>
  <c r="T79" i="1"/>
  <c r="U79" i="1" s="1"/>
  <c r="W79" i="1"/>
  <c r="Q103" i="1"/>
  <c r="U103" i="1"/>
  <c r="S103" i="1"/>
  <c r="T103" i="1"/>
  <c r="V103" i="1"/>
  <c r="W103" i="1"/>
  <c r="R103" i="1"/>
  <c r="S101" i="1"/>
  <c r="W101" i="1"/>
  <c r="T101" i="1"/>
  <c r="U101" i="1"/>
  <c r="Q101" i="1"/>
  <c r="V101" i="1"/>
  <c r="R101" i="1"/>
  <c r="S90" i="1"/>
  <c r="W90" i="1"/>
  <c r="T90" i="1"/>
  <c r="U90" i="1"/>
  <c r="Q90" i="1"/>
  <c r="V90" i="1"/>
  <c r="R90" i="1"/>
  <c r="U81" i="1"/>
  <c r="U75" i="1"/>
  <c r="W80" i="1" l="1"/>
  <c r="W72" i="1"/>
  <c r="W78" i="1"/>
  <c r="W86" i="1"/>
  <c r="W84" i="1"/>
  <c r="W74" i="1"/>
  <c r="W82" i="1"/>
  <c r="W76" i="1"/>
  <c r="W111" i="1" s="1"/>
  <c r="W67" i="1" s="1"/>
  <c r="W64" i="1" s="1"/>
  <c r="AC67" i="1"/>
  <c r="AA114" i="1" s="1"/>
  <c r="U78" i="1"/>
  <c r="U82" i="1"/>
  <c r="U80" i="1"/>
  <c r="U86" i="1"/>
  <c r="U84" i="1"/>
  <c r="U74" i="1"/>
  <c r="U72" i="1"/>
  <c r="U111" i="1" s="1"/>
  <c r="U67" i="1" s="1"/>
  <c r="U64" i="1" s="1"/>
  <c r="U76" i="1"/>
  <c r="T111" i="1"/>
  <c r="T67" i="1" s="1"/>
  <c r="V111" i="1"/>
  <c r="V67" i="1" s="1"/>
  <c r="S111" i="1"/>
  <c r="S67" i="1" s="1"/>
  <c r="S64" i="1" s="1"/>
  <c r="R111" i="1"/>
  <c r="R67" i="1" s="1"/>
  <c r="R64" i="1" s="1"/>
  <c r="Q111" i="1"/>
  <c r="Q67" i="1" s="1"/>
  <c r="Q64" i="1" s="1"/>
  <c r="AA64" i="1" l="1"/>
  <c r="V64" i="1"/>
  <c r="W62" i="1" s="1"/>
  <c r="T64" i="1"/>
  <c r="Z64" i="1" s="1"/>
  <c r="U62" i="1" l="1"/>
  <c r="O48" i="1" s="1"/>
</calcChain>
</file>

<file path=xl/comments1.xml><?xml version="1.0" encoding="utf-8"?>
<comments xmlns="http://schemas.openxmlformats.org/spreadsheetml/2006/main">
  <authors>
    <author>Dusan</author>
    <author>Milan</author>
    <author>PROTEUS</author>
  </authors>
  <commentList>
    <comment ref="F29" authorId="0" shapeId="0">
      <text>
        <r>
          <rPr>
            <b/>
            <sz val="9"/>
            <color indexed="81"/>
            <rFont val="Tahoma"/>
            <charset val="238"/>
          </rPr>
          <t>Dusan:</t>
        </r>
        <r>
          <rPr>
            <sz val="9"/>
            <color indexed="81"/>
            <rFont val="Tahoma"/>
            <charset val="238"/>
          </rPr>
          <t xml:space="preserve">
Da, razdvojeno strujanje, TEMA "G", "H"
Ne, neparni broj prolaza zo, TEMA "E"
Ne, parni broj prolaza zo, TEMA "F"</t>
        </r>
      </text>
    </comment>
    <comment ref="J32" authorId="0" shapeId="0">
      <text>
        <r>
          <rPr>
            <b/>
            <sz val="9"/>
            <color indexed="81"/>
            <rFont val="Tahoma"/>
            <charset val="238"/>
          </rPr>
          <t>Dusan:</t>
        </r>
        <r>
          <rPr>
            <sz val="9"/>
            <color indexed="81"/>
            <rFont val="Tahoma"/>
            <charset val="238"/>
          </rPr>
          <t xml:space="preserve">
Mora biti PREPORUCENA kombinacija</t>
        </r>
      </text>
    </comment>
    <comment ref="K32" authorId="0" shapeId="0">
      <text>
        <r>
          <rPr>
            <b/>
            <sz val="9"/>
            <color indexed="81"/>
            <rFont val="Tahoma"/>
            <charset val="238"/>
          </rPr>
          <t>Dusan:</t>
        </r>
        <r>
          <rPr>
            <sz val="9"/>
            <color indexed="81"/>
            <rFont val="Tahoma"/>
            <charset val="238"/>
          </rPr>
          <t xml:space="preserve">
Mora biti PREPORUCENA kombinacija</t>
        </r>
      </text>
    </comment>
    <comment ref="L32" authorId="0" shapeId="0">
      <text>
        <r>
          <rPr>
            <b/>
            <sz val="9"/>
            <color indexed="81"/>
            <rFont val="Tahoma"/>
            <charset val="238"/>
          </rPr>
          <t>Dusan:</t>
        </r>
        <r>
          <rPr>
            <sz val="9"/>
            <color indexed="81"/>
            <rFont val="Tahoma"/>
            <charset val="238"/>
          </rPr>
          <t xml:space="preserve">
Mora biti PREPORUCENA kombinacija</t>
        </r>
      </text>
    </comment>
    <comment ref="AB32" authorId="0" shapeId="0">
      <text>
        <r>
          <rPr>
            <b/>
            <sz val="9"/>
            <color indexed="81"/>
            <rFont val="Tahoma"/>
            <charset val="238"/>
          </rPr>
          <t>Dusan:</t>
        </r>
        <r>
          <rPr>
            <sz val="9"/>
            <color indexed="81"/>
            <rFont val="Tahoma"/>
            <charset val="238"/>
          </rPr>
          <t xml:space="preserve">
2kp=ds+2</t>
        </r>
        <r>
          <rPr>
            <sz val="9"/>
            <color indexed="81"/>
            <rFont val="Symbol"/>
            <family val="1"/>
            <charset val="2"/>
          </rPr>
          <t>d</t>
        </r>
        <r>
          <rPr>
            <sz val="9"/>
            <color indexed="81"/>
            <rFont val="Tahoma"/>
            <charset val="238"/>
          </rPr>
          <t>p+sp</t>
        </r>
      </text>
    </comment>
    <comment ref="J43" authorId="1" shapeId="0">
      <text>
        <r>
          <rPr>
            <b/>
            <sz val="8"/>
            <color indexed="81"/>
            <rFont val="Tahoma"/>
            <charset val="238"/>
          </rPr>
          <t>Milan:</t>
        </r>
        <r>
          <rPr>
            <sz val="8"/>
            <color indexed="81"/>
            <rFont val="Tahoma"/>
            <charset val="238"/>
          </rPr>
          <t xml:space="preserve">
Za uzduzno kao da je pv</t>
        </r>
      </text>
    </comment>
    <comment ref="K43" authorId="1" shapeId="0">
      <text>
        <r>
          <rPr>
            <b/>
            <sz val="8"/>
            <color indexed="81"/>
            <rFont val="Tahoma"/>
            <charset val="238"/>
          </rPr>
          <t>Milan:</t>
        </r>
        <r>
          <rPr>
            <sz val="8"/>
            <color indexed="81"/>
            <rFont val="Tahoma"/>
            <charset val="238"/>
          </rPr>
          <t xml:space="preserve">
Za uzduzno kao da je pv</t>
        </r>
      </text>
    </comment>
    <comment ref="L43" authorId="1" shapeId="0">
      <text>
        <r>
          <rPr>
            <b/>
            <sz val="8"/>
            <color indexed="81"/>
            <rFont val="Tahoma"/>
            <charset val="238"/>
          </rPr>
          <t>Milan:</t>
        </r>
        <r>
          <rPr>
            <sz val="8"/>
            <color indexed="81"/>
            <rFont val="Tahoma"/>
            <charset val="238"/>
          </rPr>
          <t xml:space="preserve">
Za uzduzno kao da je pv</t>
        </r>
      </text>
    </comment>
    <comment ref="J44" authorId="1" shapeId="0">
      <text>
        <r>
          <rPr>
            <b/>
            <sz val="8"/>
            <color indexed="81"/>
            <rFont val="Tahoma"/>
            <charset val="238"/>
          </rPr>
          <t>Milan:</t>
        </r>
        <r>
          <rPr>
            <sz val="8"/>
            <color indexed="81"/>
            <rFont val="Tahoma"/>
            <charset val="238"/>
          </rPr>
          <t xml:space="preserve">
Za uzduzno kao da je pv</t>
        </r>
      </text>
    </comment>
    <comment ref="K44" authorId="1" shapeId="0">
      <text>
        <r>
          <rPr>
            <b/>
            <sz val="8"/>
            <color indexed="81"/>
            <rFont val="Tahoma"/>
            <charset val="238"/>
          </rPr>
          <t>Milan:</t>
        </r>
        <r>
          <rPr>
            <sz val="8"/>
            <color indexed="81"/>
            <rFont val="Tahoma"/>
            <charset val="238"/>
          </rPr>
          <t xml:space="preserve">
Za uzduzno kao da je pv</t>
        </r>
      </text>
    </comment>
    <comment ref="L44" authorId="1" shapeId="0">
      <text>
        <r>
          <rPr>
            <b/>
            <sz val="8"/>
            <color indexed="81"/>
            <rFont val="Tahoma"/>
            <charset val="238"/>
          </rPr>
          <t>Milan:</t>
        </r>
        <r>
          <rPr>
            <sz val="8"/>
            <color indexed="81"/>
            <rFont val="Tahoma"/>
            <charset val="238"/>
          </rPr>
          <t xml:space="preserve">
Za uzduzno kao da je pv</t>
        </r>
      </text>
    </comment>
    <comment ref="J49" authorId="1" shapeId="0">
      <text>
        <r>
          <rPr>
            <b/>
            <sz val="8"/>
            <color indexed="81"/>
            <rFont val="Tahoma"/>
            <charset val="238"/>
          </rPr>
          <t>Milan:</t>
        </r>
        <r>
          <rPr>
            <sz val="8"/>
            <color indexed="81"/>
            <rFont val="Tahoma"/>
            <charset val="238"/>
          </rPr>
          <t xml:space="preserve">
Opsta preporuka
1,25 - 1,5</t>
        </r>
      </text>
    </comment>
    <comment ref="K49" authorId="1" shapeId="0">
      <text>
        <r>
          <rPr>
            <b/>
            <sz val="8"/>
            <color indexed="81"/>
            <rFont val="Tahoma"/>
            <charset val="238"/>
          </rPr>
          <t>Milan:</t>
        </r>
        <r>
          <rPr>
            <sz val="8"/>
            <color indexed="81"/>
            <rFont val="Tahoma"/>
            <charset val="238"/>
          </rPr>
          <t xml:space="preserve">
Opsta preporuka
1,25 - 1,5</t>
        </r>
      </text>
    </comment>
    <comment ref="L49" authorId="1" shapeId="0">
      <text>
        <r>
          <rPr>
            <b/>
            <sz val="8"/>
            <color indexed="81"/>
            <rFont val="Tahoma"/>
            <charset val="238"/>
          </rPr>
          <t>Milan:</t>
        </r>
        <r>
          <rPr>
            <sz val="8"/>
            <color indexed="81"/>
            <rFont val="Tahoma"/>
            <charset val="238"/>
          </rPr>
          <t xml:space="preserve">
Opsta preporuka
1,25 - 1,5</t>
        </r>
      </text>
    </comment>
    <comment ref="Q62" authorId="1" shapeId="0">
      <text>
        <r>
          <rPr>
            <b/>
            <sz val="8"/>
            <color indexed="81"/>
            <rFont val="Tahoma"/>
            <charset val="238"/>
          </rPr>
          <t>Milan:</t>
        </r>
        <r>
          <rPr>
            <sz val="8"/>
            <color indexed="81"/>
            <rFont val="Tahoma"/>
            <charset val="238"/>
          </rPr>
          <t xml:space="preserve">
Broj ordinata ispred neosne pregrade</t>
        </r>
      </text>
    </comment>
    <comment ref="S62" authorId="1" shapeId="0">
      <text>
        <r>
          <rPr>
            <b/>
            <sz val="8"/>
            <color indexed="81"/>
            <rFont val="Tahoma"/>
            <charset val="238"/>
          </rPr>
          <t>Milan:</t>
        </r>
        <r>
          <rPr>
            <sz val="8"/>
            <color indexed="81"/>
            <rFont val="Tahoma"/>
            <charset val="238"/>
          </rPr>
          <t xml:space="preserve">
Broj ordinata ispred neosne pregrade</t>
        </r>
      </text>
    </comment>
    <comment ref="U62" authorId="1" shapeId="0">
      <text>
        <r>
          <rPr>
            <b/>
            <sz val="8"/>
            <color indexed="81"/>
            <rFont val="Tahoma"/>
          </rPr>
          <t>Milan:</t>
        </r>
        <r>
          <rPr>
            <sz val="8"/>
            <color indexed="81"/>
            <rFont val="Tahoma"/>
          </rPr>
          <t xml:space="preserve">
Bez dodatih U cevi</t>
        </r>
      </text>
    </comment>
    <comment ref="W62" authorId="1" shapeId="0">
      <text>
        <r>
          <rPr>
            <b/>
            <sz val="8"/>
            <color indexed="81"/>
            <rFont val="Tahoma"/>
          </rPr>
          <t>Milan:</t>
        </r>
        <r>
          <rPr>
            <sz val="8"/>
            <color indexed="81"/>
            <rFont val="Tahoma"/>
          </rPr>
          <t xml:space="preserve">
Bez dodatih U cevi</t>
        </r>
      </text>
    </comment>
    <comment ref="P68" authorId="2" shapeId="0">
      <text>
        <r>
          <rPr>
            <b/>
            <sz val="8"/>
            <color indexed="81"/>
            <rFont val="Tahoma"/>
            <charset val="238"/>
          </rPr>
          <t>PROTEUS:</t>
        </r>
        <r>
          <rPr>
            <sz val="8"/>
            <color indexed="81"/>
            <rFont val="Tahoma"/>
            <charset val="238"/>
          </rPr>
          <t xml:space="preserve">
POLUTETIVA normalna
na ravan U cevi</t>
        </r>
      </text>
    </comment>
    <comment ref="J71" authorId="0" shapeId="0">
      <text>
        <r>
          <rPr>
            <b/>
            <sz val="9"/>
            <color indexed="81"/>
            <rFont val="Tahoma"/>
            <charset val="238"/>
          </rPr>
          <t>Dusan:</t>
        </r>
        <r>
          <rPr>
            <sz val="9"/>
            <color indexed="81"/>
            <rFont val="Tahoma"/>
            <charset val="238"/>
          </rPr>
          <t xml:space="preserve">
Mora biti veće od komin
za Uk cevi</t>
        </r>
      </text>
    </comment>
    <comment ref="K71" authorId="0" shapeId="0">
      <text>
        <r>
          <rPr>
            <b/>
            <sz val="9"/>
            <color indexed="81"/>
            <rFont val="Tahoma"/>
            <charset val="238"/>
          </rPr>
          <t>Dusan:</t>
        </r>
        <r>
          <rPr>
            <sz val="9"/>
            <color indexed="81"/>
            <rFont val="Tahoma"/>
            <charset val="238"/>
          </rPr>
          <t xml:space="preserve">
Mora biti veće od komin
za Uk cevi</t>
        </r>
      </text>
    </comment>
    <comment ref="L71" authorId="0" shapeId="0">
      <text>
        <r>
          <rPr>
            <b/>
            <sz val="9"/>
            <color indexed="81"/>
            <rFont val="Tahoma"/>
            <charset val="238"/>
          </rPr>
          <t>Dusan:</t>
        </r>
        <r>
          <rPr>
            <sz val="9"/>
            <color indexed="81"/>
            <rFont val="Tahoma"/>
            <charset val="238"/>
          </rPr>
          <t xml:space="preserve">
Mora biti veće od komin
za Uk cevi</t>
        </r>
      </text>
    </comment>
    <comment ref="J72" authorId="0" shapeId="0">
      <text>
        <r>
          <rPr>
            <b/>
            <sz val="9"/>
            <color indexed="81"/>
            <rFont val="Tahoma"/>
            <charset val="238"/>
          </rPr>
          <t>Dusan:</t>
        </r>
        <r>
          <rPr>
            <sz val="9"/>
            <color indexed="81"/>
            <rFont val="Tahoma"/>
            <charset val="238"/>
          </rPr>
          <t xml:space="preserve">
Mora biti veće od komin
za Uk cevi</t>
        </r>
      </text>
    </comment>
    <comment ref="K72" authorId="0" shapeId="0">
      <text>
        <r>
          <rPr>
            <b/>
            <sz val="9"/>
            <color indexed="81"/>
            <rFont val="Tahoma"/>
            <charset val="238"/>
          </rPr>
          <t>Dusan:</t>
        </r>
        <r>
          <rPr>
            <sz val="9"/>
            <color indexed="81"/>
            <rFont val="Tahoma"/>
            <charset val="238"/>
          </rPr>
          <t xml:space="preserve">
Mora biti veće od komin
za Uk cevi</t>
        </r>
      </text>
    </comment>
    <comment ref="L72" authorId="0" shapeId="0">
      <text>
        <r>
          <rPr>
            <b/>
            <sz val="9"/>
            <color indexed="81"/>
            <rFont val="Tahoma"/>
            <charset val="238"/>
          </rPr>
          <t>Dusan:</t>
        </r>
        <r>
          <rPr>
            <sz val="9"/>
            <color indexed="81"/>
            <rFont val="Tahoma"/>
            <charset val="238"/>
          </rPr>
          <t xml:space="preserve">
Mora biti veće od komin
za Uk cevi</t>
        </r>
      </text>
    </comment>
    <comment ref="J90" authorId="0" shapeId="0">
      <text>
        <r>
          <rPr>
            <b/>
            <sz val="9"/>
            <color indexed="81"/>
            <rFont val="Tahoma"/>
            <charset val="238"/>
          </rPr>
          <t>Dusan:</t>
        </r>
        <r>
          <rPr>
            <sz val="9"/>
            <color indexed="81"/>
            <rFont val="Tahoma"/>
            <charset val="238"/>
          </rPr>
          <t xml:space="preserve">
Broj pregrada
Za P cevi, Tip E i F  nB-paran. Tip G nB-neparan.
Za U cevi, Tip E i G nB-neparan. Tip F nB-paran.
Bez pregrada i priključci sa suprotne strane zB=1.</t>
        </r>
      </text>
    </comment>
    <comment ref="K90" authorId="0" shapeId="0">
      <text>
        <r>
          <rPr>
            <b/>
            <sz val="9"/>
            <color indexed="81"/>
            <rFont val="Tahoma"/>
            <charset val="238"/>
          </rPr>
          <t>Dusan:</t>
        </r>
        <r>
          <rPr>
            <sz val="9"/>
            <color indexed="81"/>
            <rFont val="Tahoma"/>
            <charset val="238"/>
          </rPr>
          <t xml:space="preserve">
Broj pregrada
Za P cevi, Tip E i F  nB-paran. Tip G nB-neparan.
Za U cevi, Tip E i G nB-neparan. Tip F nB-paran.
Bez pregrada i priključci sa suprotne strane zB=1.</t>
        </r>
      </text>
    </comment>
    <comment ref="L90" authorId="0" shapeId="0">
      <text>
        <r>
          <rPr>
            <b/>
            <sz val="9"/>
            <color indexed="81"/>
            <rFont val="Tahoma"/>
            <charset val="238"/>
          </rPr>
          <t>Dusan:</t>
        </r>
        <r>
          <rPr>
            <sz val="9"/>
            <color indexed="81"/>
            <rFont val="Tahoma"/>
            <charset val="238"/>
          </rPr>
          <t xml:space="preserve">
Broj pregrada
Za P cevi, Tip E i F  nB-paran. Tip G nB-neparan.
Za U cevi, Tip E i G nB-neparan. Tip F nB-paran.
Bez pregrada i priključci sa suprotne strane zB=1.</t>
        </r>
      </text>
    </comment>
  </commentList>
</comments>
</file>

<file path=xl/sharedStrings.xml><?xml version="1.0" encoding="utf-8"?>
<sst xmlns="http://schemas.openxmlformats.org/spreadsheetml/2006/main" count="444" uniqueCount="318">
  <si>
    <t>NAPOMENA</t>
  </si>
  <si>
    <t>2. Oznaka "0" - Nije predviđen račun</t>
  </si>
  <si>
    <t>3. Unos podataka samo u osenčena polja</t>
  </si>
  <si>
    <t>Opšti podaci</t>
  </si>
  <si>
    <t>Omotač registra</t>
  </si>
  <si>
    <t>IZRADA</t>
  </si>
  <si>
    <t>ROLING</t>
  </si>
  <si>
    <r>
      <t>FLUID</t>
    </r>
    <r>
      <rPr>
        <vertAlign val="subscript"/>
        <sz val="10"/>
        <color indexed="8"/>
        <rFont val="Arial"/>
        <family val="2"/>
      </rPr>
      <t>c</t>
    </r>
  </si>
  <si>
    <r>
      <t>p</t>
    </r>
    <r>
      <rPr>
        <vertAlign val="subscript"/>
        <sz val="10"/>
        <color indexed="8"/>
        <rFont val="Arial"/>
        <family val="2"/>
      </rPr>
      <t xml:space="preserve">rc </t>
    </r>
    <r>
      <rPr>
        <sz val="10"/>
        <color indexed="8"/>
        <rFont val="Arial"/>
        <family val="2"/>
      </rPr>
      <t>[bar]</t>
    </r>
  </si>
  <si>
    <r>
      <t>f</t>
    </r>
    <r>
      <rPr>
        <sz val="10"/>
        <color indexed="8"/>
        <rFont val="Arial"/>
        <family val="2"/>
      </rPr>
      <t xml:space="preserve"> D</t>
    </r>
    <r>
      <rPr>
        <sz val="8"/>
        <color indexed="8"/>
        <rFont val="Arial"/>
        <family val="2"/>
        <charset val="238"/>
      </rPr>
      <t xml:space="preserve">s </t>
    </r>
    <r>
      <rPr>
        <sz val="10"/>
        <color indexed="8"/>
        <rFont val="Arial"/>
        <family val="2"/>
      </rPr>
      <t>[m]</t>
    </r>
  </si>
  <si>
    <r>
      <t xml:space="preserve"> s</t>
    </r>
    <r>
      <rPr>
        <vertAlign val="subscript"/>
        <sz val="10"/>
        <color indexed="8"/>
        <rFont val="Arial"/>
        <family val="2"/>
      </rPr>
      <t>o</t>
    </r>
    <r>
      <rPr>
        <sz val="8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</rPr>
      <t>[m]</t>
    </r>
  </si>
  <si>
    <r>
      <t>f</t>
    </r>
    <r>
      <rPr>
        <sz val="10"/>
        <color indexed="8"/>
        <rFont val="Arial"/>
        <family val="2"/>
      </rPr>
      <t xml:space="preserve"> D</t>
    </r>
    <r>
      <rPr>
        <sz val="8"/>
        <color indexed="8"/>
        <rFont val="Arial"/>
        <family val="2"/>
        <charset val="238"/>
      </rPr>
      <t xml:space="preserve">u </t>
    </r>
    <r>
      <rPr>
        <sz val="10"/>
        <color indexed="8"/>
        <rFont val="Arial"/>
        <family val="2"/>
      </rPr>
      <t>[m]</t>
    </r>
  </si>
  <si>
    <t>Cevni registar - bunt</t>
  </si>
  <si>
    <t>Naziv fluida na ulazu u cevi RT</t>
  </si>
  <si>
    <t>Radni pritisak fluida na ulazu u cevi RT (manometarski)</t>
  </si>
  <si>
    <t>Usvojeni spoljnji prečnik cevi snopa RT</t>
  </si>
  <si>
    <r>
      <t>f</t>
    </r>
    <r>
      <rPr>
        <sz val="10"/>
        <color indexed="8"/>
        <rFont val="Arial"/>
        <family val="2"/>
      </rPr>
      <t xml:space="preserve"> d</t>
    </r>
    <r>
      <rPr>
        <sz val="8"/>
        <color indexed="8"/>
        <rFont val="Arial"/>
        <family val="2"/>
        <charset val="238"/>
      </rPr>
      <t xml:space="preserve">s </t>
    </r>
    <r>
      <rPr>
        <sz val="10"/>
        <color indexed="8"/>
        <rFont val="Arial"/>
        <family val="2"/>
      </rPr>
      <t>[m]</t>
    </r>
  </si>
  <si>
    <t>Usvojena debljina zida cevi snopa RT</t>
  </si>
  <si>
    <r>
      <t xml:space="preserve"> s</t>
    </r>
    <r>
      <rPr>
        <vertAlign val="subscript"/>
        <sz val="10"/>
        <color indexed="8"/>
        <rFont val="Arial"/>
        <family val="2"/>
      </rPr>
      <t>c</t>
    </r>
    <r>
      <rPr>
        <sz val="8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</rPr>
      <t>[m]</t>
    </r>
  </si>
  <si>
    <t>Unutrašnji prečnik cevi snopa RT</t>
  </si>
  <si>
    <r>
      <t>f</t>
    </r>
    <r>
      <rPr>
        <sz val="10"/>
        <color indexed="8"/>
        <rFont val="Arial"/>
        <family val="2"/>
      </rPr>
      <t xml:space="preserve"> d</t>
    </r>
    <r>
      <rPr>
        <sz val="8"/>
        <color indexed="8"/>
        <rFont val="Arial"/>
        <family val="2"/>
        <charset val="238"/>
      </rPr>
      <t xml:space="preserve">u </t>
    </r>
    <r>
      <rPr>
        <sz val="10"/>
        <color indexed="8"/>
        <rFont val="Arial"/>
        <family val="2"/>
      </rPr>
      <t>[m]</t>
    </r>
  </si>
  <si>
    <r>
      <t>m</t>
    </r>
    <r>
      <rPr>
        <sz val="10"/>
        <color indexed="8"/>
        <rFont val="Arial"/>
        <family val="2"/>
      </rPr>
      <t xml:space="preserve"> [ - ]</t>
    </r>
  </si>
  <si>
    <t>Tok strujanja u omotaču</t>
  </si>
  <si>
    <t>OMOTAČ</t>
  </si>
  <si>
    <t>p</t>
  </si>
  <si>
    <r>
      <t>z</t>
    </r>
    <r>
      <rPr>
        <sz val="8"/>
        <color indexed="8"/>
        <rFont val="Arial"/>
        <family val="2"/>
        <charset val="238"/>
      </rPr>
      <t>r</t>
    </r>
    <r>
      <rPr>
        <sz val="10"/>
        <color indexed="8"/>
        <rFont val="Arial"/>
        <family val="2"/>
      </rPr>
      <t xml:space="preserve"> </t>
    </r>
  </si>
  <si>
    <r>
      <t>z</t>
    </r>
    <r>
      <rPr>
        <sz val="8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</rPr>
      <t xml:space="preserve"> </t>
    </r>
  </si>
  <si>
    <r>
      <t>z</t>
    </r>
    <r>
      <rPr>
        <sz val="8"/>
        <color indexed="8"/>
        <rFont val="Arial"/>
        <family val="2"/>
        <charset val="238"/>
      </rPr>
      <t xml:space="preserve">r </t>
    </r>
    <r>
      <rPr>
        <sz val="10"/>
        <color indexed="8"/>
        <rFont val="Arial"/>
        <family val="2"/>
      </rPr>
      <t>z</t>
    </r>
    <r>
      <rPr>
        <sz val="8"/>
        <color indexed="8"/>
        <rFont val="Arial"/>
        <family val="2"/>
      </rPr>
      <t>o</t>
    </r>
  </si>
  <si>
    <t>oko cevi</t>
  </si>
  <si>
    <t>orj.OMOT.</t>
  </si>
  <si>
    <t>u cevi</t>
  </si>
  <si>
    <t>orj.CEVI</t>
  </si>
  <si>
    <t>Orjentacija cevnog snopa</t>
  </si>
  <si>
    <t>Prema tipiziranoj KONFIGURACIJI</t>
  </si>
  <si>
    <t>ORJENT</t>
  </si>
  <si>
    <r>
      <t>a</t>
    </r>
    <r>
      <rPr>
        <sz val="10"/>
        <color indexed="8"/>
        <rFont val="Arial"/>
        <family val="2"/>
      </rPr>
      <t xml:space="preserve"> [ </t>
    </r>
    <r>
      <rPr>
        <vertAlign val="superscript"/>
        <sz val="10"/>
        <color indexed="8"/>
        <rFont val="Arial"/>
        <family val="2"/>
      </rPr>
      <t xml:space="preserve">o </t>
    </r>
    <r>
      <rPr>
        <sz val="10"/>
        <color indexed="8"/>
        <rFont val="Arial"/>
        <family val="2"/>
      </rPr>
      <t>]</t>
    </r>
  </si>
  <si>
    <t>Prvi otvor mrežnog rasporeda</t>
  </si>
  <si>
    <t>Prvi otvor</t>
  </si>
  <si>
    <t>Hor. mrežni korak</t>
  </si>
  <si>
    <r>
      <t>k</t>
    </r>
    <r>
      <rPr>
        <sz val="8"/>
        <color indexed="8"/>
        <rFont val="Arial"/>
        <family val="2"/>
        <charset val="238"/>
      </rPr>
      <t>h</t>
    </r>
    <r>
      <rPr>
        <sz val="10"/>
        <color indexed="8"/>
        <rFont val="Arial"/>
        <family val="2"/>
      </rPr>
      <t xml:space="preserve"> [m]</t>
    </r>
  </si>
  <si>
    <t>Ver. mrežni korak</t>
  </si>
  <si>
    <r>
      <t>k</t>
    </r>
    <r>
      <rPr>
        <sz val="8"/>
        <color indexed="8"/>
        <rFont val="Arial"/>
        <family val="2"/>
        <charset val="238"/>
      </rPr>
      <t>v</t>
    </r>
    <r>
      <rPr>
        <sz val="10"/>
        <color indexed="8"/>
        <rFont val="Arial"/>
        <family val="2"/>
      </rPr>
      <t xml:space="preserve"> [m]</t>
    </r>
  </si>
  <si>
    <t>Usvojeni horizontalni mrežni korak</t>
  </si>
  <si>
    <t>Usvojeni vertikalni mrežni korak</t>
  </si>
  <si>
    <t xml:space="preserve">MINIMALNO rastojanje osa cevi - TUBE PITCH </t>
  </si>
  <si>
    <t>Za usv. KORAKE</t>
  </si>
  <si>
    <t>Ostvareni mrežni ugao</t>
  </si>
  <si>
    <r>
      <t>Zaokruženi ostvareni mrezni ugao + -1</t>
    </r>
    <r>
      <rPr>
        <vertAlign val="superscript"/>
        <sz val="10"/>
        <rFont val="Arial"/>
        <family val="2"/>
      </rPr>
      <t>o</t>
    </r>
    <r>
      <rPr>
        <sz val="10"/>
        <rFont val="Arial"/>
      </rPr>
      <t>.</t>
    </r>
  </si>
  <si>
    <t>TIP</t>
  </si>
  <si>
    <t>Minimalni međucevni razmak za prolaz fluida</t>
  </si>
  <si>
    <t xml:space="preserve">Minimalni poluprečnik savijanja cevi </t>
  </si>
  <si>
    <t>TEHNOLOGIJA SAVIJANJA</t>
  </si>
  <si>
    <t xml:space="preserve">Usvojeni minimalni poluprečnik savijanja cevi </t>
  </si>
  <si>
    <r>
      <t>s</t>
    </r>
    <r>
      <rPr>
        <sz val="8"/>
        <color indexed="8"/>
        <rFont val="Arial"/>
        <family val="2"/>
        <charset val="238"/>
      </rPr>
      <t>p</t>
    </r>
    <r>
      <rPr>
        <sz val="10"/>
        <color indexed="8"/>
        <rFont val="Arial"/>
        <family val="2"/>
      </rPr>
      <t xml:space="preserve"> [m]</t>
    </r>
  </si>
  <si>
    <r>
      <t>d</t>
    </r>
    <r>
      <rPr>
        <sz val="8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</rPr>
      <t xml:space="preserve"> [m]</t>
    </r>
  </si>
  <si>
    <r>
      <t>k</t>
    </r>
    <r>
      <rPr>
        <sz val="8"/>
        <color indexed="8"/>
        <rFont val="Arial"/>
        <family val="2"/>
      </rPr>
      <t>ho</t>
    </r>
    <r>
      <rPr>
        <sz val="10"/>
        <color indexed="8"/>
        <rFont val="Arial"/>
        <family val="2"/>
      </rPr>
      <t xml:space="preserve"> [m]</t>
    </r>
  </si>
  <si>
    <r>
      <t>k</t>
    </r>
    <r>
      <rPr>
        <sz val="8"/>
        <color indexed="8"/>
        <rFont val="Arial"/>
        <family val="2"/>
      </rPr>
      <t>vo</t>
    </r>
    <r>
      <rPr>
        <sz val="10"/>
        <color indexed="8"/>
        <rFont val="Arial"/>
        <family val="2"/>
      </rPr>
      <t xml:space="preserve"> [m]</t>
    </r>
  </si>
  <si>
    <r>
      <t>S</t>
    </r>
    <r>
      <rPr>
        <sz val="12"/>
        <rFont val="Arial"/>
        <charset val="204"/>
      </rPr>
      <t>n</t>
    </r>
    <r>
      <rPr>
        <sz val="8"/>
        <rFont val="Arial"/>
        <family val="2"/>
      </rPr>
      <t>I</t>
    </r>
    <r>
      <rPr>
        <sz val="10"/>
        <rFont val="Arial"/>
        <family val="2"/>
      </rPr>
      <t>/</t>
    </r>
    <r>
      <rPr>
        <sz val="12"/>
        <rFont val="Symbol"/>
        <family val="1"/>
        <charset val="2"/>
      </rPr>
      <t>S</t>
    </r>
    <r>
      <rPr>
        <sz val="8"/>
        <rFont val="Arial"/>
        <family val="2"/>
      </rPr>
      <t>nII</t>
    </r>
  </si>
  <si>
    <t>Ekvivalentni prečnik omotača</t>
  </si>
  <si>
    <r>
      <t>D</t>
    </r>
    <r>
      <rPr>
        <sz val="8"/>
        <color indexed="8"/>
        <rFont val="Arial"/>
        <family val="2"/>
      </rPr>
      <t>e</t>
    </r>
    <r>
      <rPr>
        <sz val="10"/>
        <color indexed="8"/>
        <rFont val="Arial"/>
        <family val="2"/>
      </rPr>
      <t xml:space="preserve"> [m]</t>
    </r>
  </si>
  <si>
    <t>Konfiguracija razmenjivača toplote</t>
  </si>
  <si>
    <r>
      <t>D</t>
    </r>
    <r>
      <rPr>
        <vertAlign val="subscript"/>
        <sz val="10"/>
        <rFont val="Arial"/>
        <family val="2"/>
      </rPr>
      <t>s</t>
    </r>
    <r>
      <rPr>
        <sz val="10"/>
        <rFont val="Arial"/>
        <family val="2"/>
      </rPr>
      <t xml:space="preserve"> [m]</t>
    </r>
  </si>
  <si>
    <r>
      <t>s</t>
    </r>
    <r>
      <rPr>
        <vertAlign val="subscript"/>
        <sz val="10"/>
        <rFont val="Arial"/>
        <family val="2"/>
      </rPr>
      <t>o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[m]</t>
    </r>
  </si>
  <si>
    <r>
      <t>d</t>
    </r>
    <r>
      <rPr>
        <sz val="8"/>
        <rFont val="Arial"/>
        <family val="2"/>
      </rPr>
      <t>s</t>
    </r>
    <r>
      <rPr>
        <sz val="10"/>
        <rFont val="Arial"/>
        <family val="2"/>
      </rPr>
      <t xml:space="preserve"> [m]</t>
    </r>
  </si>
  <si>
    <r>
      <t>s</t>
    </r>
    <r>
      <rPr>
        <vertAlign val="subscript"/>
        <sz val="10"/>
        <rFont val="Arial"/>
        <family val="2"/>
      </rPr>
      <t>c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[m]</t>
    </r>
  </si>
  <si>
    <r>
      <t>D</t>
    </r>
    <r>
      <rPr>
        <sz val="8"/>
        <rFont val="Arial"/>
        <family val="2"/>
      </rPr>
      <t>u</t>
    </r>
    <r>
      <rPr>
        <sz val="10"/>
        <rFont val="Arial"/>
        <family val="2"/>
      </rPr>
      <t xml:space="preserve"> [m]</t>
    </r>
  </si>
  <si>
    <r>
      <t>d</t>
    </r>
    <r>
      <rPr>
        <sz val="8"/>
        <rFont val="Arial"/>
        <family val="2"/>
      </rPr>
      <t>u</t>
    </r>
    <r>
      <rPr>
        <sz val="10"/>
        <rFont val="Arial"/>
        <family val="2"/>
      </rPr>
      <t xml:space="preserve"> [m]</t>
    </r>
  </si>
  <si>
    <r>
      <t>k</t>
    </r>
    <r>
      <rPr>
        <sz val="8"/>
        <rFont val="Arial"/>
        <family val="2"/>
      </rPr>
      <t>h</t>
    </r>
    <r>
      <rPr>
        <sz val="10"/>
        <rFont val="Arial"/>
        <family val="2"/>
      </rPr>
      <t xml:space="preserve"> [m]</t>
    </r>
  </si>
  <si>
    <r>
      <t>k</t>
    </r>
    <r>
      <rPr>
        <sz val="8"/>
        <rFont val="Arial"/>
        <family val="2"/>
      </rPr>
      <t>v</t>
    </r>
    <r>
      <rPr>
        <sz val="10"/>
        <rFont val="Arial"/>
        <family val="2"/>
      </rPr>
      <t xml:space="preserve"> [m]</t>
    </r>
  </si>
  <si>
    <t>Okno</t>
  </si>
  <si>
    <r>
      <t>d</t>
    </r>
    <r>
      <rPr>
        <sz val="8"/>
        <rFont val="Arial"/>
        <family val="2"/>
        <charset val="238"/>
      </rPr>
      <t>o</t>
    </r>
    <r>
      <rPr>
        <sz val="10"/>
        <rFont val="Arial"/>
        <family val="2"/>
      </rPr>
      <t xml:space="preserve"> [m]</t>
    </r>
  </si>
  <si>
    <r>
      <t>k</t>
    </r>
    <r>
      <rPr>
        <sz val="8"/>
        <rFont val="Arial"/>
        <family val="2"/>
      </rPr>
      <t>p</t>
    </r>
    <r>
      <rPr>
        <sz val="10"/>
        <rFont val="Arial"/>
        <family val="2"/>
      </rPr>
      <t xml:space="preserve"> [m]</t>
    </r>
  </si>
  <si>
    <r>
      <t>a</t>
    </r>
    <r>
      <rPr>
        <sz val="10"/>
        <rFont val="Arial"/>
        <family val="2"/>
      </rPr>
      <t xml:space="preserve"> [ </t>
    </r>
    <r>
      <rPr>
        <vertAlign val="superscript"/>
        <sz val="10"/>
        <rFont val="Arial"/>
        <family val="2"/>
      </rPr>
      <t xml:space="preserve">o </t>
    </r>
    <r>
      <rPr>
        <sz val="10"/>
        <rFont val="Arial"/>
        <family val="2"/>
      </rPr>
      <t>]</t>
    </r>
  </si>
  <si>
    <r>
      <t>D</t>
    </r>
    <r>
      <rPr>
        <sz val="8"/>
        <rFont val="Arial"/>
        <family val="2"/>
      </rPr>
      <t>e</t>
    </r>
    <r>
      <rPr>
        <sz val="10"/>
        <rFont val="Arial"/>
      </rPr>
      <t xml:space="preserve"> [m]</t>
    </r>
  </si>
  <si>
    <t>PREDIZBOR</t>
  </si>
  <si>
    <t>Postupak izrade omotača registra RT</t>
  </si>
  <si>
    <t>Naziv fluida na ulazu u omotač RT</t>
  </si>
  <si>
    <t>Usvojeni spoljnji prečnik omotača RT</t>
  </si>
  <si>
    <t>Usvojena debljina zida omotača RT</t>
  </si>
  <si>
    <t>Unutrašnji prečnik omotača RT</t>
  </si>
  <si>
    <r>
      <t>t</t>
    </r>
    <r>
      <rPr>
        <sz val="10"/>
        <color indexed="8"/>
        <rFont val="Arial"/>
        <family val="2"/>
      </rPr>
      <t xml:space="preserve"> [m]</t>
    </r>
  </si>
  <si>
    <t>U</t>
  </si>
  <si>
    <t>Format oblika cevi snopa RT</t>
  </si>
  <si>
    <t>CEVI</t>
  </si>
  <si>
    <t>Aranžman broja prolaza fluida</t>
  </si>
  <si>
    <t>max 8</t>
  </si>
  <si>
    <t>max 4</t>
  </si>
  <si>
    <t>Mrežni ugao - Ugao stranice i pravca strujanja</t>
  </si>
  <si>
    <r>
      <t>k</t>
    </r>
    <r>
      <rPr>
        <sz val="8"/>
        <color indexed="8"/>
        <rFont val="Arial"/>
        <family val="2"/>
        <charset val="238"/>
      </rPr>
      <t>k</t>
    </r>
    <r>
      <rPr>
        <sz val="10"/>
        <color indexed="8"/>
        <rFont val="Arial"/>
        <family val="2"/>
      </rPr>
      <t xml:space="preserve"> [m]</t>
    </r>
  </si>
  <si>
    <t>Kosi korak</t>
  </si>
  <si>
    <r>
      <t>OZN</t>
    </r>
    <r>
      <rPr>
        <sz val="8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</rPr>
      <t>[jed]</t>
    </r>
  </si>
  <si>
    <t>NOMENKLATURA</t>
  </si>
  <si>
    <t>Konfiguracija strujanja</t>
  </si>
  <si>
    <r>
      <t>FLUID</t>
    </r>
    <r>
      <rPr>
        <vertAlign val="subscript"/>
        <sz val="10"/>
        <color indexed="8"/>
        <rFont val="Arial"/>
        <family val="2"/>
      </rPr>
      <t>o</t>
    </r>
  </si>
  <si>
    <r>
      <t>t</t>
    </r>
    <r>
      <rPr>
        <vertAlign val="subscript"/>
        <sz val="10"/>
        <color indexed="8"/>
        <rFont val="Arial"/>
        <family val="2"/>
      </rPr>
      <t xml:space="preserve">o </t>
    </r>
    <r>
      <rPr>
        <sz val="10"/>
        <color indexed="8"/>
        <rFont val="Arial"/>
        <family val="2"/>
      </rPr>
      <t>[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C]</t>
    </r>
  </si>
  <si>
    <t>Radni pritisak fluida na ulazu u omotač RT (man)</t>
  </si>
  <si>
    <r>
      <t>p</t>
    </r>
    <r>
      <rPr>
        <vertAlign val="subscript"/>
        <sz val="10"/>
        <color indexed="8"/>
        <rFont val="Arial"/>
        <family val="2"/>
      </rPr>
      <t xml:space="preserve">ro </t>
    </r>
    <r>
      <rPr>
        <sz val="10"/>
        <color indexed="8"/>
        <rFont val="Arial"/>
        <family val="2"/>
      </rPr>
      <t>[bar]</t>
    </r>
  </si>
  <si>
    <r>
      <t>d</t>
    </r>
    <r>
      <rPr>
        <sz val="8"/>
        <color indexed="8"/>
        <rFont val="Arial"/>
        <family val="2"/>
        <charset val="238"/>
      </rPr>
      <t>t</t>
    </r>
    <r>
      <rPr>
        <sz val="10"/>
        <color indexed="8"/>
        <rFont val="Arial"/>
        <family val="2"/>
        <charset val="238"/>
      </rPr>
      <t xml:space="preserve"> [m]</t>
    </r>
  </si>
  <si>
    <t>Predproračun TUBE PITCH</t>
  </si>
  <si>
    <t>Broj prolaza fluida u cevima</t>
  </si>
  <si>
    <t>P</t>
  </si>
  <si>
    <r>
      <t xml:space="preserve">Faktor mreze - OSTVARENI,  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 = 1,25 - 1,5</t>
    </r>
  </si>
  <si>
    <r>
      <t>D</t>
    </r>
    <r>
      <rPr>
        <sz val="8"/>
        <color indexed="20"/>
        <rFont val="Arial"/>
        <family val="2"/>
      </rPr>
      <t>u</t>
    </r>
    <r>
      <rPr>
        <sz val="10"/>
        <color indexed="20"/>
        <rFont val="Arial"/>
        <family val="2"/>
      </rPr>
      <t>=D</t>
    </r>
    <r>
      <rPr>
        <sz val="8"/>
        <color indexed="20"/>
        <rFont val="Arial"/>
        <family val="2"/>
      </rPr>
      <t>s</t>
    </r>
    <r>
      <rPr>
        <sz val="10"/>
        <color indexed="20"/>
        <rFont val="Arial"/>
        <family val="2"/>
      </rPr>
      <t>-2s</t>
    </r>
    <r>
      <rPr>
        <sz val="8"/>
        <color indexed="20"/>
        <rFont val="Arial"/>
        <family val="2"/>
      </rPr>
      <t>o</t>
    </r>
  </si>
  <si>
    <r>
      <t>Za visoke p</t>
    </r>
    <r>
      <rPr>
        <sz val="8"/>
        <color indexed="20"/>
        <rFont val="Arial"/>
        <family val="2"/>
      </rPr>
      <t>rc</t>
    </r>
    <r>
      <rPr>
        <sz val="10"/>
        <color indexed="20"/>
        <rFont val="Arial"/>
        <family val="2"/>
      </rPr>
      <t xml:space="preserve"> PROVERITI</t>
    </r>
  </si>
  <si>
    <r>
      <t>d</t>
    </r>
    <r>
      <rPr>
        <sz val="8"/>
        <color indexed="20"/>
        <rFont val="Arial"/>
        <family val="2"/>
      </rPr>
      <t>u</t>
    </r>
    <r>
      <rPr>
        <sz val="10"/>
        <color indexed="20"/>
        <rFont val="Arial"/>
        <family val="2"/>
      </rPr>
      <t>=d</t>
    </r>
    <r>
      <rPr>
        <sz val="8"/>
        <color indexed="20"/>
        <rFont val="Arial"/>
        <family val="2"/>
      </rPr>
      <t>s</t>
    </r>
    <r>
      <rPr>
        <sz val="10"/>
        <color indexed="20"/>
        <rFont val="Arial"/>
        <family val="2"/>
      </rPr>
      <t>-2s</t>
    </r>
    <r>
      <rPr>
        <sz val="8"/>
        <color indexed="20"/>
        <rFont val="Arial"/>
        <family val="2"/>
      </rPr>
      <t>c</t>
    </r>
  </si>
  <si>
    <t>Interna tabela alata</t>
  </si>
  <si>
    <t xml:space="preserve">Usvojena debljina podužnih pregrada </t>
  </si>
  <si>
    <t>DIN 28185, TEMA, R+CB-4.421</t>
  </si>
  <si>
    <t>Klirens uzdužnih pregrada od cevi</t>
  </si>
  <si>
    <r>
      <t>d</t>
    </r>
    <r>
      <rPr>
        <sz val="8"/>
        <color indexed="8"/>
        <rFont val="Arial"/>
        <family val="2"/>
        <charset val="238"/>
      </rPr>
      <t>p</t>
    </r>
    <r>
      <rPr>
        <sz val="10"/>
        <color indexed="8"/>
        <rFont val="Arial"/>
        <family val="2"/>
      </rPr>
      <t xml:space="preserve"> [m]</t>
    </r>
  </si>
  <si>
    <t>API 660 T.7.6.3.3 min 3 mm</t>
  </si>
  <si>
    <t>Usvojeni horizontalni NULTI mrežni korak</t>
  </si>
  <si>
    <t>Usvojeni vertikalni NULTI mrežni korak</t>
  </si>
  <si>
    <r>
      <t>t</t>
    </r>
    <r>
      <rPr>
        <vertAlign val="subscript"/>
        <sz val="10"/>
        <color indexed="8"/>
        <rFont val="Arial"/>
        <family val="2"/>
      </rPr>
      <t xml:space="preserve">r </t>
    </r>
    <r>
      <rPr>
        <sz val="10"/>
        <color indexed="8"/>
        <rFont val="Arial"/>
        <family val="2"/>
      </rPr>
      <t>[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C]</t>
    </r>
  </si>
  <si>
    <t>Max. temperatura fluida u omotaču</t>
  </si>
  <si>
    <t>Max. temperatura fluida u registru</t>
  </si>
  <si>
    <t>Preproračun debljine zida doboša RT</t>
  </si>
  <si>
    <t>EN 10217-7</t>
  </si>
  <si>
    <t>Preporučena orjentacija strujanja u omotaču</t>
  </si>
  <si>
    <t>Usvojena orjentacija strujanja u omotaču</t>
  </si>
  <si>
    <t>Preporučena orjentacija strujanja u cevima</t>
  </si>
  <si>
    <t>Usvojena orjentacija strujanja u cevima</t>
  </si>
  <si>
    <t>DIN 28182, TAB.2.2.1</t>
  </si>
  <si>
    <r>
      <t>TEMA, RCB-2.31   R</t>
    </r>
    <r>
      <rPr>
        <sz val="8"/>
        <color indexed="20"/>
        <rFont val="Arial"/>
        <family val="2"/>
      </rPr>
      <t>min</t>
    </r>
    <r>
      <rPr>
        <sz val="10"/>
        <color indexed="20"/>
        <rFont val="Arial"/>
        <family val="2"/>
      </rPr>
      <t xml:space="preserve"> / d</t>
    </r>
    <r>
      <rPr>
        <sz val="8"/>
        <color indexed="20"/>
        <rFont val="Arial"/>
        <family val="2"/>
      </rPr>
      <t>s</t>
    </r>
    <r>
      <rPr>
        <sz val="10"/>
        <color indexed="20"/>
        <rFont val="Arial"/>
        <family val="2"/>
      </rPr>
      <t xml:space="preserve"> =2</t>
    </r>
  </si>
  <si>
    <t>Minimalni faktor savijanja cevi</t>
  </si>
  <si>
    <r>
      <t>r</t>
    </r>
    <r>
      <rPr>
        <sz val="8"/>
        <color indexed="8"/>
        <rFont val="Arial"/>
        <family val="2"/>
      </rPr>
      <t>min</t>
    </r>
    <r>
      <rPr>
        <sz val="10"/>
        <color indexed="8"/>
        <rFont val="Arial"/>
        <family val="2"/>
      </rPr>
      <t>/d</t>
    </r>
    <r>
      <rPr>
        <sz val="8"/>
        <color indexed="8"/>
        <rFont val="Arial"/>
        <family val="2"/>
      </rPr>
      <t>s</t>
    </r>
  </si>
  <si>
    <r>
      <t>r</t>
    </r>
    <r>
      <rPr>
        <sz val="8"/>
        <color indexed="8"/>
        <rFont val="Arial"/>
        <family val="2"/>
        <charset val="238"/>
      </rPr>
      <t>min</t>
    </r>
    <r>
      <rPr>
        <sz val="10"/>
        <color indexed="8"/>
        <rFont val="Arial"/>
        <family val="2"/>
      </rPr>
      <t xml:space="preserve"> [m]</t>
    </r>
  </si>
  <si>
    <t>STOP, ne mogu U cevi za zr=1</t>
  </si>
  <si>
    <t>STOP, velika razlika broja cevi u komorama</t>
  </si>
  <si>
    <t>Orjent.</t>
  </si>
  <si>
    <t>Br.prol.</t>
  </si>
  <si>
    <r>
      <t>z</t>
    </r>
    <r>
      <rPr>
        <sz val="8"/>
        <rFont val="Arial"/>
        <family val="2"/>
      </rPr>
      <t>r</t>
    </r>
    <r>
      <rPr>
        <sz val="10"/>
        <rFont val="Arial"/>
        <family val="2"/>
      </rPr>
      <t xml:space="preserve"> [ - ]</t>
    </r>
  </si>
  <si>
    <t>Br.</t>
  </si>
  <si>
    <t>U cevi</t>
  </si>
  <si>
    <r>
      <t>S</t>
    </r>
    <r>
      <rPr>
        <sz val="12"/>
        <rFont val="Arial"/>
        <charset val="204"/>
      </rPr>
      <t>n</t>
    </r>
    <r>
      <rPr>
        <sz val="8"/>
        <rFont val="Arial"/>
        <family val="2"/>
      </rPr>
      <t>I</t>
    </r>
    <r>
      <rPr>
        <sz val="10"/>
        <rFont val="Arial"/>
        <family val="2"/>
      </rPr>
      <t>/</t>
    </r>
    <r>
      <rPr>
        <sz val="12"/>
        <rFont val="Symbol"/>
        <family val="1"/>
        <charset val="2"/>
      </rPr>
      <t>S</t>
    </r>
    <r>
      <rPr>
        <sz val="10"/>
        <rFont val="Arial"/>
        <family val="2"/>
      </rPr>
      <t>n</t>
    </r>
    <r>
      <rPr>
        <sz val="8"/>
        <rFont val="Arial"/>
        <family val="2"/>
      </rPr>
      <t>II</t>
    </r>
  </si>
  <si>
    <r>
      <t>S</t>
    </r>
    <r>
      <rPr>
        <sz val="12"/>
        <rFont val="Arial"/>
        <family val="2"/>
      </rPr>
      <t>n</t>
    </r>
    <r>
      <rPr>
        <sz val="8"/>
        <rFont val="Arial"/>
        <family val="2"/>
      </rPr>
      <t>u1</t>
    </r>
  </si>
  <si>
    <r>
      <t>S</t>
    </r>
    <r>
      <rPr>
        <sz val="12"/>
        <rFont val="Arial"/>
        <family val="2"/>
      </rPr>
      <t>n</t>
    </r>
    <r>
      <rPr>
        <sz val="8"/>
        <rFont val="Arial"/>
        <family val="2"/>
      </rPr>
      <t>u2</t>
    </r>
  </si>
  <si>
    <r>
      <t>S</t>
    </r>
    <r>
      <rPr>
        <sz val="12"/>
        <rFont val="Arial"/>
        <family val="2"/>
      </rPr>
      <t>n</t>
    </r>
    <r>
      <rPr>
        <sz val="8"/>
        <rFont val="Arial"/>
        <family val="2"/>
      </rPr>
      <t>u4</t>
    </r>
  </si>
  <si>
    <r>
      <t>S</t>
    </r>
    <r>
      <rPr>
        <sz val="12"/>
        <rFont val="Arial"/>
        <family val="2"/>
      </rPr>
      <t>n</t>
    </r>
    <r>
      <rPr>
        <sz val="8"/>
        <rFont val="Arial"/>
        <family val="2"/>
      </rPr>
      <t>u6</t>
    </r>
  </si>
  <si>
    <r>
      <t>S</t>
    </r>
    <r>
      <rPr>
        <sz val="12"/>
        <rFont val="Arial"/>
        <family val="2"/>
      </rPr>
      <t>n</t>
    </r>
    <r>
      <rPr>
        <sz val="8"/>
        <rFont val="Arial"/>
        <family val="2"/>
      </rPr>
      <t>p6</t>
    </r>
    <r>
      <rPr>
        <b/>
        <sz val="10"/>
        <rFont val="Arial"/>
      </rPr>
      <t/>
    </r>
  </si>
  <si>
    <r>
      <t>S</t>
    </r>
    <r>
      <rPr>
        <sz val="12"/>
        <rFont val="Arial"/>
        <family val="2"/>
      </rPr>
      <t>n</t>
    </r>
    <r>
      <rPr>
        <sz val="8"/>
        <rFont val="Arial"/>
        <family val="2"/>
      </rPr>
      <t>u8</t>
    </r>
  </si>
  <si>
    <r>
      <t>S</t>
    </r>
    <r>
      <rPr>
        <sz val="12"/>
        <rFont val="Arial"/>
        <family val="2"/>
      </rPr>
      <t>n</t>
    </r>
    <r>
      <rPr>
        <sz val="8"/>
        <rFont val="Arial"/>
        <family val="2"/>
      </rPr>
      <t>p8</t>
    </r>
    <r>
      <rPr>
        <b/>
        <sz val="10"/>
        <rFont val="Arial"/>
      </rPr>
      <t/>
    </r>
  </si>
  <si>
    <t>Usv.</t>
  </si>
  <si>
    <t>Format</t>
  </si>
  <si>
    <t>Str,tok</t>
  </si>
  <si>
    <t>Tip mrežnog rasporeda</t>
  </si>
  <si>
    <t>Mrežna figura</t>
  </si>
  <si>
    <t>Minimalni međucevni klirens</t>
  </si>
  <si>
    <r>
      <t>r</t>
    </r>
    <r>
      <rPr>
        <sz val="8"/>
        <rFont val="Arial"/>
        <family val="2"/>
      </rPr>
      <t>min</t>
    </r>
    <r>
      <rPr>
        <sz val="10"/>
        <rFont val="Arial"/>
        <family val="2"/>
      </rPr>
      <t xml:space="preserve"> [m]</t>
    </r>
  </si>
  <si>
    <r>
      <t>Dotl</t>
    </r>
    <r>
      <rPr>
        <sz val="9"/>
        <rFont val="Arial"/>
        <family val="2"/>
      </rPr>
      <t>[m]</t>
    </r>
  </si>
  <si>
    <r>
      <t>Dcotl</t>
    </r>
    <r>
      <rPr>
        <sz val="9"/>
        <rFont val="Arial"/>
        <family val="2"/>
      </rPr>
      <t>[m]</t>
    </r>
  </si>
  <si>
    <r>
      <t>k</t>
    </r>
    <r>
      <rPr>
        <sz val="8"/>
        <rFont val="Arial"/>
        <family val="2"/>
      </rPr>
      <t>k</t>
    </r>
    <r>
      <rPr>
        <sz val="10"/>
        <rFont val="Arial"/>
        <family val="2"/>
      </rPr>
      <t xml:space="preserve"> [m]</t>
    </r>
  </si>
  <si>
    <r>
      <t>Pk</t>
    </r>
    <r>
      <rPr>
        <sz val="8"/>
        <color indexed="8"/>
        <rFont val="Arial"/>
        <family val="2"/>
      </rPr>
      <t>ho</t>
    </r>
    <r>
      <rPr>
        <sz val="10"/>
        <color indexed="8"/>
        <rFont val="Arial"/>
        <family val="2"/>
      </rPr>
      <t xml:space="preserve"> [-]</t>
    </r>
  </si>
  <si>
    <r>
      <t>Pk</t>
    </r>
    <r>
      <rPr>
        <sz val="8"/>
        <color indexed="8"/>
        <rFont val="Arial"/>
        <family val="2"/>
      </rPr>
      <t>vo</t>
    </r>
    <r>
      <rPr>
        <sz val="10"/>
        <color indexed="8"/>
        <rFont val="Arial"/>
        <family val="2"/>
      </rPr>
      <t xml:space="preserve"> [-]</t>
    </r>
  </si>
  <si>
    <r>
      <t>Pk</t>
    </r>
    <r>
      <rPr>
        <sz val="8"/>
        <color indexed="8"/>
        <rFont val="Arial"/>
        <family val="2"/>
      </rPr>
      <t>ho</t>
    </r>
    <r>
      <rPr>
        <sz val="10"/>
        <color indexed="8"/>
        <rFont val="Arial"/>
        <family val="2"/>
      </rPr>
      <t xml:space="preserve"> [ - ]</t>
    </r>
  </si>
  <si>
    <t>Vrednost horizontalnog početnog mrežnog koraka min.</t>
  </si>
  <si>
    <t>Vrednost vertikalnog početnog mrežnog koraka min.</t>
  </si>
  <si>
    <t>Pozicija horizontalnog početnog koraka</t>
  </si>
  <si>
    <t>Pozicija vertikalnog početnog koraka</t>
  </si>
  <si>
    <r>
      <t>Pkv</t>
    </r>
    <r>
      <rPr>
        <sz val="8"/>
        <color indexed="8"/>
        <rFont val="Arial"/>
        <family val="2"/>
      </rPr>
      <t>o</t>
    </r>
    <r>
      <rPr>
        <sz val="10"/>
        <color indexed="8"/>
        <rFont val="Arial"/>
        <family val="2"/>
      </rPr>
      <t xml:space="preserve"> [ - ]</t>
    </r>
  </si>
  <si>
    <t>PO</t>
  </si>
  <si>
    <t>Obodni klirens za zaptivne trake</t>
  </si>
  <si>
    <r>
      <t>Dcotl</t>
    </r>
    <r>
      <rPr>
        <sz val="10"/>
        <color indexed="8"/>
        <rFont val="Arial"/>
        <family val="2"/>
      </rPr>
      <t>[m]</t>
    </r>
  </si>
  <si>
    <t>Maksimalni prečnik kruga snopa (out tube limit)</t>
  </si>
  <si>
    <r>
      <t>Dotl</t>
    </r>
    <r>
      <rPr>
        <sz val="10"/>
        <color indexed="8"/>
        <rFont val="Arial"/>
        <family val="2"/>
      </rPr>
      <t>[m]</t>
    </r>
  </si>
  <si>
    <t>Maksimalni prečnik kruga centra otvora</t>
  </si>
  <si>
    <t>Ds [m]</t>
  </si>
  <si>
    <t>Polutet.</t>
  </si>
  <si>
    <t>Oznaka konfiguracije</t>
  </si>
  <si>
    <t xml:space="preserve"> TIP STRUJANJA</t>
  </si>
  <si>
    <t>list 2</t>
  </si>
  <si>
    <t>list 1</t>
  </si>
  <si>
    <t>USVOJEN IZBOR</t>
  </si>
  <si>
    <r>
      <t>z</t>
    </r>
    <r>
      <rPr>
        <sz val="8"/>
        <rFont val="Arial"/>
        <family val="2"/>
      </rPr>
      <t>o</t>
    </r>
    <r>
      <rPr>
        <sz val="10"/>
        <rFont val="Arial"/>
        <family val="2"/>
      </rPr>
      <t xml:space="preserve"> [ - ]</t>
    </r>
  </si>
  <si>
    <r>
      <t>STOP, ne moze "koridorni" (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>=90) za zr&gt;4</t>
    </r>
  </si>
  <si>
    <t>PREPORUČENI ARANŽMAN BROJA PROLAZA  11,  21,  22,  41,  42,  44,  61,  62,  63,  81,  82,  84</t>
  </si>
  <si>
    <t>TEMA tip omotača</t>
  </si>
  <si>
    <t>Broj prolaza fluida oko cevi</t>
  </si>
  <si>
    <r>
      <t>N</t>
    </r>
    <r>
      <rPr>
        <sz val="8"/>
        <rFont val="Arial"/>
        <family val="2"/>
      </rPr>
      <t>ku</t>
    </r>
    <r>
      <rPr>
        <sz val="10"/>
        <rFont val="Arial"/>
        <family val="2"/>
      </rPr>
      <t xml:space="preserve"> [ - ]</t>
    </r>
  </si>
  <si>
    <r>
      <t>N</t>
    </r>
    <r>
      <rPr>
        <sz val="8"/>
        <rFont val="Arial"/>
        <family val="2"/>
      </rPr>
      <t>ru</t>
    </r>
    <r>
      <rPr>
        <sz val="10"/>
        <rFont val="Arial"/>
        <family val="2"/>
      </rPr>
      <t xml:space="preserve"> [ - ]</t>
    </r>
  </si>
  <si>
    <t>Usvojen obodni klirens omotača i cevnog snopa</t>
  </si>
  <si>
    <r>
      <t>2k</t>
    </r>
    <r>
      <rPr>
        <sz val="8"/>
        <color indexed="8"/>
        <rFont val="Arial"/>
        <family val="2"/>
      </rPr>
      <t xml:space="preserve">p </t>
    </r>
    <r>
      <rPr>
        <sz val="10"/>
        <color indexed="8"/>
        <rFont val="Arial"/>
        <family val="2"/>
      </rPr>
      <t>[m]</t>
    </r>
  </si>
  <si>
    <r>
      <t>2k</t>
    </r>
    <r>
      <rPr>
        <sz val="8"/>
        <color indexed="8"/>
        <rFont val="Arial"/>
        <family val="2"/>
        <charset val="238"/>
      </rPr>
      <t>p</t>
    </r>
    <r>
      <rPr>
        <sz val="10"/>
        <color indexed="8"/>
        <rFont val="Arial"/>
        <family val="2"/>
      </rPr>
      <t xml:space="preserve"> [m]</t>
    </r>
  </si>
  <si>
    <r>
      <t>N</t>
    </r>
    <r>
      <rPr>
        <sz val="8"/>
        <color indexed="20"/>
        <rFont val="Arial"/>
        <family val="2"/>
      </rPr>
      <t>ku</t>
    </r>
    <r>
      <rPr>
        <sz val="10"/>
        <color indexed="20"/>
        <rFont val="Arial"/>
        <family val="2"/>
      </rPr>
      <t>=INT((D</t>
    </r>
    <r>
      <rPr>
        <sz val="8"/>
        <color indexed="20"/>
        <rFont val="Arial"/>
        <family val="2"/>
      </rPr>
      <t>u</t>
    </r>
    <r>
      <rPr>
        <sz val="10"/>
        <color indexed="20"/>
        <rFont val="Arial"/>
        <family val="2"/>
      </rPr>
      <t>/2-d</t>
    </r>
    <r>
      <rPr>
        <sz val="8"/>
        <color indexed="20"/>
        <rFont val="Arial"/>
        <family val="2"/>
      </rPr>
      <t>s</t>
    </r>
    <r>
      <rPr>
        <sz val="10"/>
        <color indexed="20"/>
        <rFont val="Arial"/>
        <family val="2"/>
      </rPr>
      <t>/2-</t>
    </r>
    <r>
      <rPr>
        <sz val="10"/>
        <color indexed="20"/>
        <rFont val="Symbol"/>
        <family val="1"/>
        <charset val="2"/>
      </rPr>
      <t>d</t>
    </r>
    <r>
      <rPr>
        <sz val="8"/>
        <color indexed="20"/>
        <rFont val="Arial"/>
        <family val="2"/>
      </rPr>
      <t>o</t>
    </r>
    <r>
      <rPr>
        <sz val="10"/>
        <color indexed="20"/>
        <rFont val="Arial"/>
        <family val="2"/>
      </rPr>
      <t>-k</t>
    </r>
    <r>
      <rPr>
        <sz val="8"/>
        <color indexed="20"/>
        <rFont val="Arial"/>
        <family val="2"/>
      </rPr>
      <t>ho</t>
    </r>
    <r>
      <rPr>
        <sz val="10"/>
        <color indexed="20"/>
        <rFont val="Arial"/>
        <family val="2"/>
      </rPr>
      <t>)/k</t>
    </r>
    <r>
      <rPr>
        <sz val="8"/>
        <color indexed="20"/>
        <rFont val="Arial"/>
        <family val="2"/>
      </rPr>
      <t>h</t>
    </r>
    <r>
      <rPr>
        <sz val="10"/>
        <color indexed="20"/>
        <rFont val="Arial"/>
        <family val="2"/>
      </rPr>
      <t>)+1</t>
    </r>
  </si>
  <si>
    <r>
      <t>N</t>
    </r>
    <r>
      <rPr>
        <sz val="8"/>
        <color indexed="20"/>
        <rFont val="Arial"/>
        <family val="2"/>
      </rPr>
      <t>ru</t>
    </r>
    <r>
      <rPr>
        <sz val="10"/>
        <color indexed="20"/>
        <rFont val="Arial"/>
        <family val="2"/>
      </rPr>
      <t>=INT((D</t>
    </r>
    <r>
      <rPr>
        <sz val="8"/>
        <color indexed="20"/>
        <rFont val="Arial"/>
        <family val="2"/>
      </rPr>
      <t>u</t>
    </r>
    <r>
      <rPr>
        <sz val="10"/>
        <color indexed="20"/>
        <rFont val="Arial"/>
        <family val="2"/>
      </rPr>
      <t>/2-d</t>
    </r>
    <r>
      <rPr>
        <sz val="8"/>
        <color indexed="20"/>
        <rFont val="Arial"/>
        <family val="2"/>
      </rPr>
      <t>s</t>
    </r>
    <r>
      <rPr>
        <sz val="10"/>
        <color indexed="20"/>
        <rFont val="Arial"/>
        <family val="2"/>
      </rPr>
      <t>/2-</t>
    </r>
    <r>
      <rPr>
        <sz val="10"/>
        <color indexed="20"/>
        <rFont val="Symbol"/>
        <family val="1"/>
        <charset val="2"/>
      </rPr>
      <t>d</t>
    </r>
    <r>
      <rPr>
        <sz val="8"/>
        <color indexed="20"/>
        <rFont val="Arial"/>
        <family val="2"/>
      </rPr>
      <t>o</t>
    </r>
    <r>
      <rPr>
        <sz val="10"/>
        <color indexed="20"/>
        <rFont val="Arial"/>
        <family val="2"/>
      </rPr>
      <t>-k</t>
    </r>
    <r>
      <rPr>
        <sz val="8"/>
        <color indexed="20"/>
        <rFont val="Arial"/>
        <family val="2"/>
      </rPr>
      <t>vo</t>
    </r>
    <r>
      <rPr>
        <sz val="10"/>
        <color indexed="20"/>
        <rFont val="Arial"/>
        <family val="2"/>
      </rPr>
      <t>+(k</t>
    </r>
    <r>
      <rPr>
        <sz val="8"/>
        <color indexed="20"/>
        <rFont val="Arial"/>
        <family val="2"/>
      </rPr>
      <t>v</t>
    </r>
    <r>
      <rPr>
        <sz val="10"/>
        <color indexed="20"/>
        <rFont val="Arial"/>
        <family val="2"/>
      </rPr>
      <t>-2k</t>
    </r>
    <r>
      <rPr>
        <sz val="8"/>
        <color indexed="20"/>
        <rFont val="Arial"/>
        <family val="2"/>
      </rPr>
      <t>p</t>
    </r>
    <r>
      <rPr>
        <sz val="10"/>
        <color indexed="20"/>
        <rFont val="Arial"/>
        <family val="2"/>
      </rPr>
      <t>))/k</t>
    </r>
    <r>
      <rPr>
        <sz val="8"/>
        <color indexed="20"/>
        <rFont val="Arial"/>
        <family val="2"/>
      </rPr>
      <t>v</t>
    </r>
    <r>
      <rPr>
        <sz val="10"/>
        <color indexed="20"/>
        <rFont val="Arial"/>
        <family val="2"/>
      </rPr>
      <t>)+1</t>
    </r>
    <r>
      <rPr>
        <sz val="12"/>
        <rFont val="Arial"/>
        <charset val="204"/>
      </rPr>
      <t/>
    </r>
  </si>
  <si>
    <t>Excel proračuni - MREŽNA KONFIGURACIJA</t>
  </si>
  <si>
    <t>Info - Izvor - Aplikacija</t>
  </si>
  <si>
    <t>No</t>
  </si>
  <si>
    <t>Var. I</t>
  </si>
  <si>
    <t>Var. II</t>
  </si>
  <si>
    <t>Var. III</t>
  </si>
  <si>
    <t>PREDPRORAČUN</t>
  </si>
  <si>
    <r>
      <t>t=</t>
    </r>
    <r>
      <rPr>
        <sz val="10"/>
        <color indexed="20"/>
        <rFont val="Symbol Tiger Expert"/>
        <family val="1"/>
        <charset val="2"/>
      </rPr>
      <t>d</t>
    </r>
    <r>
      <rPr>
        <sz val="8"/>
        <color indexed="20"/>
        <rFont val="Arial"/>
        <family val="2"/>
      </rPr>
      <t>t</t>
    </r>
    <r>
      <rPr>
        <sz val="10"/>
        <color indexed="20"/>
        <rFont val="Arial"/>
      </rPr>
      <t>+d</t>
    </r>
    <r>
      <rPr>
        <sz val="8"/>
        <color indexed="20"/>
        <rFont val="Arial"/>
        <family val="2"/>
      </rPr>
      <t>s</t>
    </r>
  </si>
  <si>
    <r>
      <t>za u i p</t>
    </r>
    <r>
      <rPr>
        <sz val="8"/>
        <color indexed="20"/>
        <rFont val="Arial"/>
        <family val="2"/>
      </rPr>
      <t>h:</t>
    </r>
    <r>
      <rPr>
        <sz val="10"/>
        <color indexed="20"/>
        <rFont val="Arial"/>
      </rPr>
      <t xml:space="preserve"> k</t>
    </r>
    <r>
      <rPr>
        <sz val="8"/>
        <color indexed="20"/>
        <rFont val="Arial"/>
        <family val="2"/>
      </rPr>
      <t>h</t>
    </r>
    <r>
      <rPr>
        <sz val="10"/>
        <color indexed="20"/>
        <rFont val="Arial"/>
      </rPr>
      <t>=t sin</t>
    </r>
    <r>
      <rPr>
        <sz val="10"/>
        <color indexed="20"/>
        <rFont val="Symbol"/>
        <family val="1"/>
        <charset val="2"/>
      </rPr>
      <t>a</t>
    </r>
    <r>
      <rPr>
        <sz val="10"/>
        <color indexed="20"/>
        <rFont val="Times New Roman"/>
        <family val="1"/>
      </rPr>
      <t>, za p</t>
    </r>
    <r>
      <rPr>
        <sz val="8"/>
        <color indexed="20"/>
        <rFont val="Times New Roman"/>
        <family val="1"/>
      </rPr>
      <t>v</t>
    </r>
    <r>
      <rPr>
        <sz val="10"/>
        <color indexed="20"/>
        <rFont val="Times New Roman"/>
        <family val="1"/>
      </rPr>
      <t xml:space="preserve"> k</t>
    </r>
    <r>
      <rPr>
        <sz val="8"/>
        <color indexed="20"/>
        <rFont val="Times New Roman"/>
        <family val="1"/>
      </rPr>
      <t>h</t>
    </r>
    <r>
      <rPr>
        <sz val="10"/>
        <color indexed="20"/>
        <rFont val="Times New Roman"/>
        <family val="1"/>
      </rPr>
      <t>=t cos</t>
    </r>
    <r>
      <rPr>
        <sz val="10"/>
        <color indexed="20"/>
        <rFont val="Symbol Tiger"/>
        <family val="1"/>
        <charset val="2"/>
      </rPr>
      <t>a</t>
    </r>
    <r>
      <rPr>
        <sz val="10"/>
        <color indexed="20"/>
        <rFont val="Times New Roman"/>
        <family val="1"/>
      </rPr>
      <t xml:space="preserve">, t za </t>
    </r>
    <r>
      <rPr>
        <sz val="10"/>
        <color indexed="20"/>
        <rFont val="Symbol Tiger Expert"/>
        <family val="1"/>
        <charset val="2"/>
      </rPr>
      <t>a</t>
    </r>
    <r>
      <rPr>
        <sz val="10"/>
        <color indexed="20"/>
        <rFont val="Times New Roman"/>
        <family val="1"/>
      </rPr>
      <t>=90</t>
    </r>
  </si>
  <si>
    <r>
      <t>za u i p</t>
    </r>
    <r>
      <rPr>
        <sz val="8"/>
        <color indexed="20"/>
        <rFont val="Arial"/>
        <family val="2"/>
      </rPr>
      <t>h:</t>
    </r>
    <r>
      <rPr>
        <sz val="10"/>
        <color indexed="20"/>
        <rFont val="Arial"/>
      </rPr>
      <t xml:space="preserve"> k</t>
    </r>
    <r>
      <rPr>
        <sz val="8"/>
        <color indexed="20"/>
        <rFont val="Arial"/>
        <family val="2"/>
      </rPr>
      <t>h</t>
    </r>
    <r>
      <rPr>
        <sz val="10"/>
        <color indexed="20"/>
        <rFont val="Arial"/>
      </rPr>
      <t>=t cos</t>
    </r>
    <r>
      <rPr>
        <sz val="10"/>
        <color indexed="20"/>
        <rFont val="Symbol"/>
        <family val="1"/>
        <charset val="2"/>
      </rPr>
      <t>a</t>
    </r>
    <r>
      <rPr>
        <sz val="10"/>
        <color indexed="20"/>
        <rFont val="Times New Roman"/>
        <family val="1"/>
      </rPr>
      <t>, za p</t>
    </r>
    <r>
      <rPr>
        <sz val="8"/>
        <color indexed="20"/>
        <rFont val="Times New Roman"/>
        <family val="1"/>
      </rPr>
      <t>v</t>
    </r>
    <r>
      <rPr>
        <sz val="10"/>
        <color indexed="20"/>
        <rFont val="Times New Roman"/>
        <family val="1"/>
      </rPr>
      <t xml:space="preserve"> kh=t sin</t>
    </r>
    <r>
      <rPr>
        <sz val="10"/>
        <color indexed="20"/>
        <rFont val="Symbol Tiger"/>
        <family val="1"/>
        <charset val="2"/>
      </rPr>
      <t>a</t>
    </r>
    <r>
      <rPr>
        <sz val="10"/>
        <color indexed="20"/>
        <rFont val="Times New Roman"/>
        <family val="1"/>
      </rPr>
      <t xml:space="preserve">, t za </t>
    </r>
    <r>
      <rPr>
        <sz val="10"/>
        <color indexed="20"/>
        <rFont val="Symbol Tiger Expert"/>
        <family val="1"/>
        <charset val="2"/>
      </rPr>
      <t>a</t>
    </r>
    <r>
      <rPr>
        <sz val="10"/>
        <color indexed="20"/>
        <rFont val="Times New Roman"/>
        <family val="1"/>
      </rPr>
      <t>=90</t>
    </r>
    <r>
      <rPr>
        <sz val="12"/>
        <rFont val="Arial"/>
        <charset val="204"/>
      </rPr>
      <t/>
    </r>
  </si>
  <si>
    <t>Minimalni korak na mestu podužne pregrade</t>
  </si>
  <si>
    <t>Usvojeni korak podužne pregrade</t>
  </si>
  <si>
    <r>
      <t>2kr</t>
    </r>
    <r>
      <rPr>
        <sz val="8"/>
        <color indexed="8"/>
        <rFont val="Arial"/>
        <family val="2"/>
        <charset val="238"/>
      </rPr>
      <t>p</t>
    </r>
    <r>
      <rPr>
        <sz val="10"/>
        <color indexed="8"/>
        <rFont val="Arial"/>
        <family val="2"/>
      </rPr>
      <t xml:space="preserve"> [m]</t>
    </r>
  </si>
  <si>
    <t>Usvojeni korak podužne NEOSNE podužne pregrade</t>
  </si>
  <si>
    <t>PREPORUČENI strujni tok</t>
  </si>
  <si>
    <r>
      <t>k</t>
    </r>
    <r>
      <rPr>
        <sz val="8"/>
        <color indexed="20"/>
        <rFont val="Arial"/>
        <family val="2"/>
      </rPr>
      <t>k</t>
    </r>
    <r>
      <rPr>
        <sz val="10"/>
        <color indexed="20"/>
        <rFont val="Arial"/>
        <family val="2"/>
      </rPr>
      <t>=(k</t>
    </r>
    <r>
      <rPr>
        <sz val="8"/>
        <color indexed="20"/>
        <rFont val="Arial"/>
        <family val="2"/>
      </rPr>
      <t>v</t>
    </r>
    <r>
      <rPr>
        <vertAlign val="superscript"/>
        <sz val="10"/>
        <color indexed="20"/>
        <rFont val="Arial"/>
        <family val="2"/>
      </rPr>
      <t>2</t>
    </r>
    <r>
      <rPr>
        <sz val="10"/>
        <color indexed="20"/>
        <rFont val="Arial"/>
        <family val="2"/>
      </rPr>
      <t>+k</t>
    </r>
    <r>
      <rPr>
        <sz val="8"/>
        <color indexed="20"/>
        <rFont val="Arial"/>
        <family val="2"/>
      </rPr>
      <t>h</t>
    </r>
    <r>
      <rPr>
        <vertAlign val="superscript"/>
        <sz val="10"/>
        <color indexed="20"/>
        <rFont val="Arial"/>
        <family val="2"/>
      </rPr>
      <t>2</t>
    </r>
    <r>
      <rPr>
        <sz val="10"/>
        <color indexed="20"/>
        <rFont val="Arial"/>
        <family val="2"/>
      </rPr>
      <t>)</t>
    </r>
    <r>
      <rPr>
        <vertAlign val="superscript"/>
        <sz val="10"/>
        <color indexed="20"/>
        <rFont val="Arial"/>
        <family val="2"/>
      </rPr>
      <t>0,5</t>
    </r>
    <r>
      <rPr>
        <sz val="10"/>
        <rFont val="Arial"/>
        <family val="2"/>
        <charset val="238"/>
      </rPr>
      <t/>
    </r>
  </si>
  <si>
    <r>
      <t>m</t>
    </r>
    <r>
      <rPr>
        <sz val="10"/>
        <color indexed="20"/>
        <rFont val="Arial"/>
        <family val="2"/>
        <charset val="238"/>
      </rPr>
      <t xml:space="preserve"> = t/d</t>
    </r>
    <r>
      <rPr>
        <sz val="8"/>
        <color indexed="20"/>
        <rFont val="Arial"/>
        <family val="2"/>
      </rPr>
      <t>s</t>
    </r>
  </si>
  <si>
    <r>
      <t>d</t>
    </r>
    <r>
      <rPr>
        <sz val="8"/>
        <color indexed="20"/>
        <rFont val="Arial"/>
        <family val="2"/>
      </rPr>
      <t>t</t>
    </r>
    <r>
      <rPr>
        <sz val="10"/>
        <color indexed="20"/>
        <rFont val="Arial"/>
        <family val="2"/>
        <charset val="238"/>
      </rPr>
      <t xml:space="preserve"> = t - d</t>
    </r>
    <r>
      <rPr>
        <sz val="8"/>
        <color indexed="20"/>
        <rFont val="Arial"/>
        <family val="2"/>
      </rPr>
      <t>s</t>
    </r>
  </si>
  <si>
    <r>
      <t>2k</t>
    </r>
    <r>
      <rPr>
        <sz val="8"/>
        <color indexed="20"/>
        <rFont val="Arial"/>
        <family val="2"/>
      </rPr>
      <t>p</t>
    </r>
    <r>
      <rPr>
        <sz val="10"/>
        <color indexed="20"/>
        <rFont val="Arial"/>
      </rPr>
      <t>=d</t>
    </r>
    <r>
      <rPr>
        <sz val="8"/>
        <color indexed="20"/>
        <rFont val="Arial"/>
        <family val="2"/>
      </rPr>
      <t>s</t>
    </r>
    <r>
      <rPr>
        <sz val="10"/>
        <color indexed="20"/>
        <rFont val="Arial"/>
        <family val="2"/>
      </rPr>
      <t>+2</t>
    </r>
    <r>
      <rPr>
        <sz val="10"/>
        <color indexed="20"/>
        <rFont val="Symbol"/>
        <family val="1"/>
        <charset val="2"/>
      </rPr>
      <t>d</t>
    </r>
    <r>
      <rPr>
        <sz val="8"/>
        <color indexed="20"/>
        <rFont val="Arial"/>
        <family val="2"/>
      </rPr>
      <t>p</t>
    </r>
    <r>
      <rPr>
        <sz val="10"/>
        <color indexed="20"/>
        <rFont val="Arial"/>
        <family val="2"/>
      </rPr>
      <t>+s</t>
    </r>
    <r>
      <rPr>
        <sz val="8"/>
        <color indexed="20"/>
        <rFont val="Arial"/>
        <family val="2"/>
      </rPr>
      <t>p</t>
    </r>
  </si>
  <si>
    <r>
      <t xml:space="preserve">(Taborek </t>
    </r>
    <r>
      <rPr>
        <sz val="10"/>
        <color indexed="20"/>
        <rFont val="Symbol Tiger Expert"/>
        <family val="1"/>
        <charset val="2"/>
      </rPr>
      <t>d</t>
    </r>
    <r>
      <rPr>
        <sz val="8"/>
        <color indexed="20"/>
        <rFont val="Arial"/>
        <family val="2"/>
      </rPr>
      <t>o</t>
    </r>
    <r>
      <rPr>
        <sz val="10"/>
        <color indexed="20"/>
        <rFont val="Arial"/>
      </rPr>
      <t>=(0,005D</t>
    </r>
    <r>
      <rPr>
        <sz val="8"/>
        <color indexed="20"/>
        <rFont val="Arial"/>
        <family val="2"/>
      </rPr>
      <t>u</t>
    </r>
    <r>
      <rPr>
        <sz val="10"/>
        <color indexed="20"/>
        <rFont val="Arial"/>
      </rPr>
      <t>+0,0125)/2)</t>
    </r>
  </si>
  <si>
    <r>
      <t>D</t>
    </r>
    <r>
      <rPr>
        <sz val="8"/>
        <color indexed="20"/>
        <rFont val="Arial"/>
        <family val="2"/>
      </rPr>
      <t>otl</t>
    </r>
    <r>
      <rPr>
        <sz val="10"/>
        <color indexed="20"/>
        <rFont val="Arial"/>
      </rPr>
      <t>=D</t>
    </r>
    <r>
      <rPr>
        <sz val="8"/>
        <color indexed="20"/>
        <rFont val="Arial"/>
        <family val="2"/>
      </rPr>
      <t>u</t>
    </r>
    <r>
      <rPr>
        <sz val="10"/>
        <color indexed="20"/>
        <rFont val="Arial"/>
      </rPr>
      <t>-2</t>
    </r>
    <r>
      <rPr>
        <sz val="10"/>
        <color indexed="20"/>
        <rFont val="Symbol"/>
        <family val="1"/>
        <charset val="2"/>
      </rPr>
      <t>d</t>
    </r>
    <r>
      <rPr>
        <sz val="8"/>
        <color indexed="20"/>
        <rFont val="Arial"/>
        <family val="2"/>
      </rPr>
      <t>o</t>
    </r>
  </si>
  <si>
    <r>
      <t>D</t>
    </r>
    <r>
      <rPr>
        <sz val="8"/>
        <color indexed="20"/>
        <rFont val="Arial"/>
        <family val="2"/>
      </rPr>
      <t>cotl</t>
    </r>
    <r>
      <rPr>
        <sz val="10"/>
        <color indexed="20"/>
        <rFont val="Arial"/>
      </rPr>
      <t>=D</t>
    </r>
    <r>
      <rPr>
        <sz val="8"/>
        <color indexed="20"/>
        <rFont val="Arial"/>
        <family val="2"/>
      </rPr>
      <t>otl</t>
    </r>
    <r>
      <rPr>
        <sz val="10"/>
        <color indexed="20"/>
        <rFont val="Arial"/>
      </rPr>
      <t>-d</t>
    </r>
    <r>
      <rPr>
        <sz val="8"/>
        <color indexed="20"/>
        <rFont val="Arial"/>
        <family val="2"/>
      </rPr>
      <t>s</t>
    </r>
  </si>
  <si>
    <t>Ostali parametri konfiguracije strujanja</t>
  </si>
  <si>
    <r>
      <t>D</t>
    </r>
    <r>
      <rPr>
        <sz val="8"/>
        <color indexed="20"/>
        <rFont val="Arial"/>
        <family val="2"/>
      </rPr>
      <t>eT</t>
    </r>
    <r>
      <rPr>
        <sz val="10"/>
        <color indexed="20"/>
        <rFont val="Arial"/>
        <family val="2"/>
      </rPr>
      <t>=8k</t>
    </r>
    <r>
      <rPr>
        <sz val="8"/>
        <color indexed="20"/>
        <rFont val="Arial"/>
        <family val="2"/>
      </rPr>
      <t>v</t>
    </r>
    <r>
      <rPr>
        <sz val="10"/>
        <color indexed="20"/>
        <rFont val="Arial"/>
        <family val="2"/>
      </rPr>
      <t>k</t>
    </r>
    <r>
      <rPr>
        <sz val="8"/>
        <color indexed="20"/>
        <rFont val="Arial"/>
        <family val="2"/>
      </rPr>
      <t>h</t>
    </r>
    <r>
      <rPr>
        <sz val="10"/>
        <color indexed="20"/>
        <rFont val="Arial"/>
        <family val="2"/>
      </rPr>
      <t>/(d</t>
    </r>
    <r>
      <rPr>
        <sz val="8"/>
        <color indexed="20"/>
        <rFont val="Arial"/>
        <family val="2"/>
      </rPr>
      <t>s</t>
    </r>
    <r>
      <rPr>
        <sz val="10"/>
        <color indexed="20"/>
        <rFont val="Symbol"/>
        <family val="1"/>
        <charset val="2"/>
      </rPr>
      <t>p)</t>
    </r>
    <r>
      <rPr>
        <sz val="10"/>
        <color indexed="20"/>
        <rFont val="Arial"/>
        <family val="2"/>
      </rPr>
      <t>-d</t>
    </r>
    <r>
      <rPr>
        <sz val="8"/>
        <color indexed="20"/>
        <rFont val="Arial"/>
        <family val="2"/>
      </rPr>
      <t>s</t>
    </r>
  </si>
  <si>
    <r>
      <t>D</t>
    </r>
    <r>
      <rPr>
        <sz val="8"/>
        <color indexed="20"/>
        <rFont val="Arial"/>
        <family val="2"/>
      </rPr>
      <t>eK</t>
    </r>
    <r>
      <rPr>
        <sz val="10"/>
        <color indexed="20"/>
        <rFont val="Arial"/>
        <family val="2"/>
      </rPr>
      <t>=4k</t>
    </r>
    <r>
      <rPr>
        <sz val="8"/>
        <color indexed="20"/>
        <rFont val="Arial"/>
        <family val="2"/>
      </rPr>
      <t>v</t>
    </r>
    <r>
      <rPr>
        <sz val="10"/>
        <color indexed="20"/>
        <rFont val="Arial"/>
        <family val="2"/>
      </rPr>
      <t>k</t>
    </r>
    <r>
      <rPr>
        <sz val="8"/>
        <color indexed="20"/>
        <rFont val="Arial"/>
        <family val="2"/>
      </rPr>
      <t>h</t>
    </r>
    <r>
      <rPr>
        <sz val="10"/>
        <color indexed="20"/>
        <rFont val="Arial"/>
        <family val="2"/>
      </rPr>
      <t>/(d</t>
    </r>
    <r>
      <rPr>
        <sz val="8"/>
        <color indexed="20"/>
        <rFont val="Arial"/>
        <family val="2"/>
      </rPr>
      <t>s</t>
    </r>
    <r>
      <rPr>
        <sz val="10"/>
        <color indexed="20"/>
        <rFont val="Symbol"/>
        <family val="1"/>
        <charset val="2"/>
      </rPr>
      <t>p)</t>
    </r>
    <r>
      <rPr>
        <sz val="10"/>
        <color indexed="20"/>
        <rFont val="Arial"/>
        <family val="2"/>
      </rPr>
      <t>-d</t>
    </r>
    <r>
      <rPr>
        <sz val="8"/>
        <color indexed="20"/>
        <rFont val="Arial"/>
        <family val="2"/>
      </rPr>
      <t>s,</t>
    </r>
  </si>
  <si>
    <t>Excel proračuni - MREŽNA KONFIGURACIJA - nastavak</t>
  </si>
  <si>
    <t>Broj kol. polupreseka</t>
  </si>
  <si>
    <t>Broj red. polupreseka</t>
  </si>
  <si>
    <t>OZN [jed]</t>
  </si>
  <si>
    <t>Primer 2.2</t>
  </si>
  <si>
    <t>Excel proračuni - BROJ I RASPORED CEVI DRT</t>
  </si>
  <si>
    <t>Menjaju se osenčana polja - ostala zaključana</t>
  </si>
  <si>
    <t>Mogu se menjati podaci u osenčanim poljima - Ostala polja su zaključana</t>
  </si>
  <si>
    <t>Usvojena mrežna konfiguracija - Pregled rezultata</t>
  </si>
  <si>
    <t>Položaj ukrštenih ili kosih cevi</t>
  </si>
  <si>
    <r>
      <t>Uk cevi</t>
    </r>
    <r>
      <rPr>
        <sz val="10"/>
        <color indexed="8"/>
        <rFont val="Arial"/>
        <family val="2"/>
      </rPr>
      <t xml:space="preserve"> </t>
    </r>
  </si>
  <si>
    <t>Minimalni NULTI korak za ukrštene ili kose cevi</t>
  </si>
  <si>
    <r>
      <t>k</t>
    </r>
    <r>
      <rPr>
        <sz val="8"/>
        <color indexed="8"/>
        <rFont val="Arial"/>
        <family val="2"/>
      </rPr>
      <t>omin</t>
    </r>
    <r>
      <rPr>
        <sz val="10"/>
        <color indexed="8"/>
        <rFont val="Arial"/>
        <family val="2"/>
      </rPr>
      <t xml:space="preserve"> [m]</t>
    </r>
  </si>
  <si>
    <t>Usvojeno</t>
  </si>
  <si>
    <t>STOP, Tabela ima više od 40 KOLONA (REDOVA)</t>
  </si>
  <si>
    <t>osna kom.</t>
  </si>
  <si>
    <t>KI</t>
  </si>
  <si>
    <t>KI =KII</t>
  </si>
  <si>
    <t>KI =KIV</t>
  </si>
  <si>
    <t>Broj cevi u</t>
  </si>
  <si>
    <t>komorama</t>
  </si>
  <si>
    <t>KIII=KVI</t>
  </si>
  <si>
    <t>KI =KVIII</t>
  </si>
  <si>
    <t>bez neosne</t>
  </si>
  <si>
    <t>Alarm - upozorenje, greške podataka</t>
  </si>
  <si>
    <r>
      <t>N</t>
    </r>
    <r>
      <rPr>
        <sz val="8"/>
        <rFont val="Arial"/>
        <family val="2"/>
      </rPr>
      <t>p</t>
    </r>
    <r>
      <rPr>
        <sz val="10"/>
        <rFont val="Arial"/>
        <family val="2"/>
      </rPr>
      <t>6 [-]</t>
    </r>
  </si>
  <si>
    <r>
      <t>N</t>
    </r>
    <r>
      <rPr>
        <sz val="8"/>
        <rFont val="Arial"/>
        <family val="2"/>
      </rPr>
      <t>p</t>
    </r>
    <r>
      <rPr>
        <sz val="10"/>
        <rFont val="Arial"/>
        <family val="2"/>
      </rPr>
      <t>8 [-]</t>
    </r>
  </si>
  <si>
    <t>Izbor Np</t>
  </si>
  <si>
    <t>Usvojena varijanta</t>
  </si>
  <si>
    <t>Mrežna konfiguracija</t>
  </si>
  <si>
    <t>STOP, proveriti prečnik Ds za broj prolaza zr</t>
  </si>
  <si>
    <t>1. Oznaka "SOS" - Nema tekuće vrednosti</t>
  </si>
  <si>
    <t>S neosnom pregradom</t>
  </si>
  <si>
    <t>Za usvojenu konfiguraciju</t>
  </si>
  <si>
    <t>PRORAČUN BROJA CEVI  DRT - nastavak</t>
  </si>
  <si>
    <r>
      <t>z</t>
    </r>
    <r>
      <rPr>
        <sz val="8"/>
        <rFont val="Arial"/>
        <family val="2"/>
      </rPr>
      <t>v</t>
    </r>
    <r>
      <rPr>
        <sz val="10"/>
        <rFont val="Arial"/>
        <family val="2"/>
      </rPr>
      <t xml:space="preserve"> [ - ]</t>
    </r>
  </si>
  <si>
    <t>Dodatne</t>
  </si>
  <si>
    <t>Radijus savijanja i minimalni broj kolona (redova) JEDNE dodatne U cevi</t>
  </si>
  <si>
    <t>da</t>
  </si>
  <si>
    <r>
      <t>A</t>
    </r>
    <r>
      <rPr>
        <sz val="8"/>
        <rFont val="Arial"/>
        <family val="2"/>
      </rPr>
      <t>i</t>
    </r>
    <r>
      <rPr>
        <sz val="10"/>
        <rFont val="Arial"/>
        <family val="2"/>
      </rPr>
      <t xml:space="preserve">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</si>
  <si>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r>
      <t>r</t>
    </r>
    <r>
      <rPr>
        <sz val="6"/>
        <rFont val="Arial"/>
        <family val="2"/>
      </rPr>
      <t>max</t>
    </r>
  </si>
  <si>
    <r>
      <t>r</t>
    </r>
    <r>
      <rPr>
        <sz val="6"/>
        <rFont val="Arial"/>
        <family val="2"/>
      </rPr>
      <t xml:space="preserve">i </t>
    </r>
    <r>
      <rPr>
        <sz val="8"/>
        <rFont val="Arial"/>
        <family val="2"/>
      </rPr>
      <t>[m]</t>
    </r>
  </si>
  <si>
    <t>U cevi [kom]</t>
  </si>
  <si>
    <r>
      <t>r</t>
    </r>
    <r>
      <rPr>
        <sz val="8"/>
        <rFont val="Arial"/>
        <family val="2"/>
      </rPr>
      <t>dmin</t>
    </r>
    <r>
      <rPr>
        <sz val="10"/>
        <rFont val="Arial"/>
        <family val="2"/>
      </rPr>
      <t xml:space="preserve"> [m]</t>
    </r>
  </si>
  <si>
    <r>
      <t>n</t>
    </r>
    <r>
      <rPr>
        <sz val="6"/>
        <rFont val="Arial"/>
        <family val="2"/>
      </rPr>
      <t xml:space="preserve">oi </t>
    </r>
    <r>
      <rPr>
        <sz val="8"/>
        <rFont val="Arial"/>
        <family val="2"/>
      </rPr>
      <t>[-]</t>
    </r>
  </si>
  <si>
    <t xml:space="preserve">   tabele</t>
  </si>
  <si>
    <t>Dodatni proračun geometrije okna</t>
  </si>
  <si>
    <t>Pretpostavljeno</t>
  </si>
  <si>
    <r>
      <t xml:space="preserve"> H</t>
    </r>
    <r>
      <rPr>
        <sz val="8"/>
        <color indexed="8"/>
        <rFont val="Arial"/>
        <family val="2"/>
      </rPr>
      <t>o</t>
    </r>
    <r>
      <rPr>
        <sz val="10"/>
        <color indexed="8"/>
        <rFont val="Arial"/>
        <family val="2"/>
      </rPr>
      <t>/D</t>
    </r>
    <r>
      <rPr>
        <sz val="8"/>
        <color indexed="8"/>
        <rFont val="Arial"/>
        <family val="2"/>
      </rPr>
      <t>u</t>
    </r>
  </si>
  <si>
    <t xml:space="preserve">   Broj kolone (reda) okna</t>
  </si>
  <si>
    <r>
      <t>H</t>
    </r>
    <r>
      <rPr>
        <sz val="6"/>
        <color indexed="8"/>
        <rFont val="Arial"/>
        <family val="2"/>
      </rPr>
      <t>o kon</t>
    </r>
    <r>
      <rPr>
        <sz val="10"/>
        <color indexed="8"/>
        <rFont val="Arial"/>
        <family val="2"/>
      </rPr>
      <t>[m]</t>
    </r>
  </si>
  <si>
    <r>
      <t>H</t>
    </r>
    <r>
      <rPr>
        <sz val="8"/>
        <color indexed="8"/>
        <rFont val="Arial"/>
        <family val="2"/>
      </rPr>
      <t>o</t>
    </r>
    <r>
      <rPr>
        <sz val="10"/>
        <color indexed="8"/>
        <rFont val="Arial"/>
        <family val="2"/>
      </rPr>
      <t xml:space="preserve"> [m]</t>
    </r>
  </si>
  <si>
    <t xml:space="preserve"> Konačno okno</t>
  </si>
  <si>
    <t xml:space="preserve"> Visina okna</t>
  </si>
  <si>
    <t>Stvarno</t>
  </si>
  <si>
    <r>
      <t xml:space="preserve"> H</t>
    </r>
    <r>
      <rPr>
        <sz val="6"/>
        <color indexed="8"/>
        <rFont val="Arial"/>
        <family val="2"/>
      </rPr>
      <t>o kon</t>
    </r>
    <r>
      <rPr>
        <sz val="10"/>
        <color indexed="8"/>
        <rFont val="Arial"/>
        <family val="2"/>
      </rPr>
      <t>/D</t>
    </r>
    <r>
      <rPr>
        <sz val="8"/>
        <color indexed="8"/>
        <rFont val="Arial"/>
        <family val="2"/>
      </rPr>
      <t>u</t>
    </r>
  </si>
  <si>
    <t xml:space="preserve">   Broj cevi u oknu</t>
  </si>
  <si>
    <r>
      <t>S</t>
    </r>
    <r>
      <rPr>
        <sz val="12"/>
        <rFont val="Arial"/>
        <family val="2"/>
      </rPr>
      <t>n</t>
    </r>
    <r>
      <rPr>
        <sz val="8"/>
        <rFont val="Arial"/>
        <family val="2"/>
      </rPr>
      <t>o</t>
    </r>
  </si>
  <si>
    <t xml:space="preserve"> Dodatne </t>
  </si>
  <si>
    <t>Data</t>
  </si>
  <si>
    <t>Slob.</t>
  </si>
  <si>
    <t>izbor</t>
  </si>
  <si>
    <t>Ne</t>
  </si>
  <si>
    <t>const</t>
  </si>
  <si>
    <t>Iz mehaničkog proračuna</t>
  </si>
  <si>
    <t>Minimalna debljina zida omotača RT</t>
  </si>
  <si>
    <r>
      <t xml:space="preserve"> s</t>
    </r>
    <r>
      <rPr>
        <vertAlign val="subscript"/>
        <sz val="10"/>
        <color indexed="8"/>
        <rFont val="Arial"/>
        <family val="2"/>
      </rPr>
      <t>omin</t>
    </r>
    <r>
      <rPr>
        <sz val="8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</rPr>
      <t>[m]</t>
    </r>
  </si>
  <si>
    <t>Cev, ili usvojeno</t>
  </si>
  <si>
    <t>DN</t>
  </si>
  <si>
    <t>Razdvojeno</t>
  </si>
  <si>
    <t>Poprečno strujanje u omotaču</t>
  </si>
  <si>
    <t>Komercijalna dužina cevi za izradu registra</t>
  </si>
  <si>
    <r>
      <t>L</t>
    </r>
    <r>
      <rPr>
        <sz val="8"/>
        <color indexed="20"/>
        <rFont val="Arial"/>
        <family val="2"/>
      </rPr>
      <t>t</t>
    </r>
    <r>
      <rPr>
        <sz val="10"/>
        <color indexed="20"/>
        <rFont val="Arial"/>
      </rPr>
      <t>=1; 1,2; 1,5; 2; 3; 6; 12</t>
    </r>
  </si>
  <si>
    <t>L [m]</t>
  </si>
  <si>
    <t>Jednačina (2.9)</t>
  </si>
  <si>
    <t>Max. efektivna prava dužina cevi (videti sl. Sl.2.37)</t>
  </si>
  <si>
    <t xml:space="preserve">Usvojena efektivna prava dužina cevi </t>
  </si>
  <si>
    <t>Iz TERMIK proračuna</t>
  </si>
  <si>
    <r>
      <t>L</t>
    </r>
    <r>
      <rPr>
        <sz val="6"/>
        <color indexed="8"/>
        <rFont val="Arial"/>
        <family val="2"/>
      </rPr>
      <t>max</t>
    </r>
    <r>
      <rPr>
        <sz val="10"/>
        <color indexed="8"/>
        <rFont val="Arial"/>
        <family val="2"/>
      </rPr>
      <t xml:space="preserve"> [m]</t>
    </r>
  </si>
  <si>
    <t>Rastojanje pregrada na priključku</t>
  </si>
  <si>
    <r>
      <t>B</t>
    </r>
    <r>
      <rPr>
        <sz val="7"/>
        <color indexed="8"/>
        <rFont val="Arial"/>
        <family val="2"/>
      </rPr>
      <t>pr</t>
    </r>
    <r>
      <rPr>
        <sz val="10"/>
        <color indexed="8"/>
        <rFont val="Arial"/>
        <family val="2"/>
      </rPr>
      <t xml:space="preserve"> [m]</t>
    </r>
  </si>
  <si>
    <r>
      <t>B</t>
    </r>
    <r>
      <rPr>
        <sz val="8"/>
        <color indexed="20"/>
        <rFont val="Arial"/>
        <family val="2"/>
      </rPr>
      <t>pr</t>
    </r>
    <r>
      <rPr>
        <sz val="10"/>
        <color indexed="20"/>
        <rFont val="Arial"/>
      </rPr>
      <t>=2*DN</t>
    </r>
  </si>
  <si>
    <r>
      <t>B</t>
    </r>
    <r>
      <rPr>
        <sz val="10"/>
        <color indexed="8"/>
        <rFont val="Arial"/>
        <family val="2"/>
      </rPr>
      <t xml:space="preserve"> [m]</t>
    </r>
  </si>
  <si>
    <t>Broj poprečnih pregrada na dužini L</t>
  </si>
  <si>
    <r>
      <t>n</t>
    </r>
    <r>
      <rPr>
        <sz val="7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[m]</t>
    </r>
  </si>
  <si>
    <t>Rastojanje pregrada</t>
  </si>
  <si>
    <r>
      <t>B</t>
    </r>
    <r>
      <rPr>
        <sz val="7"/>
        <color indexed="20"/>
        <rFont val="Arial"/>
        <family val="2"/>
      </rPr>
      <t>max</t>
    </r>
    <r>
      <rPr>
        <sz val="10"/>
        <color indexed="20"/>
        <rFont val="Arial"/>
      </rPr>
      <t>=D</t>
    </r>
    <r>
      <rPr>
        <sz val="7"/>
        <color indexed="20"/>
        <rFont val="Arial"/>
        <family val="2"/>
      </rPr>
      <t>u</t>
    </r>
    <r>
      <rPr>
        <sz val="10"/>
        <color indexed="20"/>
        <rFont val="Arial"/>
      </rPr>
      <t>, B</t>
    </r>
    <r>
      <rPr>
        <sz val="7"/>
        <color indexed="20"/>
        <rFont val="Arial"/>
        <family val="2"/>
      </rPr>
      <t>min</t>
    </r>
    <r>
      <rPr>
        <sz val="10"/>
        <color indexed="20"/>
        <rFont val="Arial"/>
      </rPr>
      <t>=0,2 D</t>
    </r>
    <r>
      <rPr>
        <sz val="7"/>
        <color indexed="20"/>
        <rFont val="Arial"/>
        <family val="2"/>
      </rPr>
      <t>u</t>
    </r>
  </si>
  <si>
    <r>
      <t>L</t>
    </r>
    <r>
      <rPr>
        <sz val="7"/>
        <color indexed="8"/>
        <rFont val="Arial"/>
        <family val="2"/>
      </rPr>
      <t>t</t>
    </r>
    <r>
      <rPr>
        <sz val="10"/>
        <color indexed="8"/>
        <rFont val="Arial"/>
        <family val="2"/>
      </rPr>
      <t xml:space="preserve"> [m]</t>
    </r>
  </si>
  <si>
    <t>Str.tok</t>
  </si>
  <si>
    <r>
      <t>L</t>
    </r>
    <r>
      <rPr>
        <sz val="6"/>
        <color indexed="8"/>
        <rFont val="Arial"/>
        <family val="2"/>
      </rPr>
      <t>t max</t>
    </r>
    <r>
      <rPr>
        <sz val="9"/>
        <color indexed="8"/>
        <rFont val="Arial"/>
        <family val="2"/>
      </rPr>
      <t xml:space="preserve"> [m]</t>
    </r>
  </si>
  <si>
    <r>
      <t>L</t>
    </r>
    <r>
      <rPr>
        <sz val="10"/>
        <color indexed="8"/>
        <rFont val="Arial"/>
        <family val="2"/>
      </rPr>
      <t xml:space="preserve"> [ m ]</t>
    </r>
  </si>
  <si>
    <r>
      <t>S</t>
    </r>
    <r>
      <rPr>
        <sz val="8"/>
        <rFont val="Arial"/>
        <family val="2"/>
      </rPr>
      <t>n</t>
    </r>
    <r>
      <rPr>
        <sz val="6"/>
        <rFont val="Arial"/>
        <family val="2"/>
      </rPr>
      <t>oi</t>
    </r>
  </si>
  <si>
    <r>
      <t>S</t>
    </r>
    <r>
      <rPr>
        <sz val="6"/>
        <rFont val="Arial"/>
        <family val="2"/>
      </rPr>
      <t xml:space="preserve"> broj</t>
    </r>
  </si>
  <si>
    <r>
      <t>S</t>
    </r>
    <r>
      <rPr>
        <sz val="12"/>
        <color indexed="16"/>
        <rFont val="Arial"/>
        <family val="2"/>
      </rPr>
      <t>n</t>
    </r>
    <r>
      <rPr>
        <sz val="8"/>
        <color indexed="16"/>
        <rFont val="Arial"/>
        <family val="2"/>
      </rPr>
      <t>u1</t>
    </r>
  </si>
  <si>
    <r>
      <t>S</t>
    </r>
    <r>
      <rPr>
        <sz val="12"/>
        <color indexed="16"/>
        <rFont val="Arial"/>
        <family val="2"/>
      </rPr>
      <t>n</t>
    </r>
    <r>
      <rPr>
        <sz val="8"/>
        <color indexed="16"/>
        <rFont val="Arial"/>
        <family val="2"/>
      </rPr>
      <t>u6</t>
    </r>
  </si>
  <si>
    <r>
      <t>S</t>
    </r>
    <r>
      <rPr>
        <sz val="12"/>
        <color indexed="16"/>
        <rFont val="Arial"/>
        <family val="2"/>
      </rPr>
      <t>n</t>
    </r>
    <r>
      <rPr>
        <sz val="8"/>
        <color indexed="16"/>
        <rFont val="Arial"/>
        <family val="2"/>
      </rPr>
      <t>u2</t>
    </r>
  </si>
  <si>
    <r>
      <t>S</t>
    </r>
    <r>
      <rPr>
        <sz val="12"/>
        <color indexed="16"/>
        <rFont val="Arial"/>
        <family val="2"/>
      </rPr>
      <t>n</t>
    </r>
    <r>
      <rPr>
        <sz val="8"/>
        <color indexed="16"/>
        <rFont val="Arial"/>
        <family val="2"/>
      </rPr>
      <t>u4</t>
    </r>
  </si>
  <si>
    <r>
      <t>S</t>
    </r>
    <r>
      <rPr>
        <sz val="12"/>
        <color indexed="16"/>
        <rFont val="Arial"/>
        <family val="2"/>
      </rPr>
      <t>n</t>
    </r>
    <r>
      <rPr>
        <sz val="8"/>
        <color indexed="16"/>
        <rFont val="Arial"/>
        <family val="2"/>
      </rPr>
      <t>p6</t>
    </r>
    <r>
      <rPr>
        <b/>
        <sz val="10"/>
        <rFont val="Arial"/>
      </rPr>
      <t/>
    </r>
  </si>
  <si>
    <r>
      <t>S</t>
    </r>
    <r>
      <rPr>
        <sz val="12"/>
        <color indexed="16"/>
        <rFont val="Arial"/>
        <family val="2"/>
      </rPr>
      <t>n</t>
    </r>
    <r>
      <rPr>
        <sz val="8"/>
        <color indexed="16"/>
        <rFont val="Arial"/>
        <family val="2"/>
      </rPr>
      <t>u8</t>
    </r>
  </si>
  <si>
    <r>
      <t>S</t>
    </r>
    <r>
      <rPr>
        <sz val="12"/>
        <color indexed="16"/>
        <rFont val="Arial"/>
        <family val="2"/>
      </rPr>
      <t>n</t>
    </r>
    <r>
      <rPr>
        <sz val="8"/>
        <color indexed="16"/>
        <rFont val="Arial"/>
        <family val="2"/>
      </rPr>
      <t>p8</t>
    </r>
    <r>
      <rPr>
        <b/>
        <sz val="10"/>
        <rFont val="Arial"/>
      </rPr>
      <t/>
    </r>
  </si>
  <si>
    <r>
      <t>S</t>
    </r>
    <r>
      <rPr>
        <sz val="10"/>
        <rFont val="Arial"/>
        <family val="2"/>
      </rPr>
      <t>A</t>
    </r>
    <r>
      <rPr>
        <sz val="8"/>
        <rFont val="Arial"/>
        <family val="2"/>
      </rPr>
      <t>i</t>
    </r>
    <r>
      <rPr>
        <sz val="10"/>
        <rFont val="Arial"/>
        <family val="2"/>
      </rPr>
      <t xml:space="preserve"> cevi</t>
    </r>
  </si>
  <si>
    <t>Hladniji</t>
  </si>
  <si>
    <t>u</t>
  </si>
  <si>
    <t>Za sve preporučene konfiguracije</t>
  </si>
  <si>
    <t>Priključak omotača glave</t>
  </si>
  <si>
    <t>Priključak omotača registra</t>
  </si>
  <si>
    <t>Drugi korak</t>
  </si>
  <si>
    <t xml:space="preserve">   Prvi korak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</si>
</sst>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00"/>
  </numFmts>
  <fonts count="107">
    <font>
      <sz val="12"/>
      <name val="Arial"/>
      <charset val="204"/>
    </font>
    <font>
      <sz val="12"/>
      <name val="Arial"/>
      <charset val="204"/>
    </font>
    <font>
      <sz val="10"/>
      <color indexed="8"/>
      <name val="YU L Swiss"/>
      <family val="2"/>
    </font>
    <font>
      <sz val="10"/>
      <color indexed="8"/>
      <name val="Arial"/>
      <family val="2"/>
    </font>
    <font>
      <sz val="10"/>
      <name val="YU L Swiss"/>
      <family val="2"/>
    </font>
    <font>
      <b/>
      <sz val="11"/>
      <color indexed="42"/>
      <name val="Arial"/>
      <family val="2"/>
    </font>
    <font>
      <b/>
      <sz val="11"/>
      <color indexed="21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sz val="9"/>
      <color indexed="21"/>
      <name val="Arial"/>
      <family val="2"/>
    </font>
    <font>
      <sz val="10"/>
      <color indexed="9"/>
      <name val="YU L Swiss"/>
      <family val="2"/>
    </font>
    <font>
      <b/>
      <sz val="11"/>
      <color indexed="9"/>
      <name val="Arial"/>
      <family val="2"/>
    </font>
    <font>
      <sz val="10"/>
      <color indexed="9"/>
      <name val="Arial"/>
      <family val="2"/>
      <charset val="238"/>
    </font>
    <font>
      <sz val="11"/>
      <color indexed="42"/>
      <name val="Arial"/>
      <family val="2"/>
    </font>
    <font>
      <sz val="10"/>
      <color indexed="9"/>
      <name val="Arial"/>
      <family val="2"/>
    </font>
    <font>
      <sz val="10"/>
      <color indexed="12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0"/>
      <color indexed="12"/>
      <name val="Arial"/>
      <family val="2"/>
    </font>
    <font>
      <vertAlign val="subscript"/>
      <sz val="10"/>
      <color indexed="8"/>
      <name val="Arial"/>
      <family val="2"/>
    </font>
    <font>
      <sz val="10"/>
      <color indexed="8"/>
      <name val="Symbol"/>
      <family val="1"/>
      <charset val="2"/>
    </font>
    <font>
      <sz val="8"/>
      <color indexed="8"/>
      <name val="Arial"/>
      <family val="2"/>
      <charset val="238"/>
    </font>
    <font>
      <sz val="10"/>
      <color indexed="14"/>
      <name val="Arial"/>
      <family val="2"/>
    </font>
    <font>
      <b/>
      <sz val="10"/>
      <color indexed="16"/>
      <name val="Arial"/>
      <family val="2"/>
    </font>
    <font>
      <sz val="10"/>
      <color indexed="14"/>
      <name val="Arial"/>
    </font>
    <font>
      <sz val="10"/>
      <color indexed="14"/>
      <name val="Symbol"/>
      <family val="1"/>
      <charset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sz val="8"/>
      <color indexed="8"/>
      <name val="Arial"/>
      <family val="2"/>
    </font>
    <font>
      <b/>
      <sz val="10"/>
      <color indexed="10"/>
      <name val="Arial"/>
      <family val="2"/>
    </font>
    <font>
      <vertAlign val="superscript"/>
      <sz val="10"/>
      <color indexed="8"/>
      <name val="Arial"/>
      <family val="2"/>
    </font>
    <font>
      <b/>
      <sz val="10"/>
      <color indexed="16"/>
      <name val="Arial"/>
    </font>
    <font>
      <sz val="12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  <charset val="238"/>
    </font>
    <font>
      <sz val="10"/>
      <color indexed="20"/>
      <name val="Arial"/>
      <family val="2"/>
    </font>
    <font>
      <sz val="12"/>
      <name val="Symbol"/>
      <family val="1"/>
      <charset val="2"/>
    </font>
    <font>
      <b/>
      <sz val="12"/>
      <color indexed="16"/>
      <name val="Arial"/>
      <family val="2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0"/>
      <name val="Symbol"/>
      <family val="1"/>
      <charset val="2"/>
    </font>
    <font>
      <sz val="7"/>
      <name val="Arial"/>
      <family val="2"/>
    </font>
    <font>
      <b/>
      <sz val="12"/>
      <color indexed="33"/>
      <name val="YU L Swiss"/>
      <family val="2"/>
    </font>
    <font>
      <sz val="12"/>
      <color indexed="33"/>
      <name val="YU L Swiss"/>
      <family val="2"/>
    </font>
    <font>
      <b/>
      <sz val="12"/>
      <color indexed="8"/>
      <name val="Arial"/>
      <family val="2"/>
    </font>
    <font>
      <vertAlign val="subscript"/>
      <sz val="10"/>
      <name val="Arial"/>
      <family val="2"/>
    </font>
    <font>
      <sz val="9"/>
      <name val="Arial"/>
      <family val="2"/>
    </font>
    <font>
      <b/>
      <sz val="10"/>
      <name val="Arial"/>
    </font>
    <font>
      <sz val="8"/>
      <name val="Arial"/>
      <family val="2"/>
      <charset val="238"/>
    </font>
    <font>
      <sz val="11"/>
      <color indexed="16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sz val="12"/>
      <color indexed="10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vertAlign val="superscript"/>
      <sz val="10"/>
      <color indexed="20"/>
      <name val="Arial"/>
      <family val="2"/>
    </font>
    <font>
      <sz val="9"/>
      <color indexed="81"/>
      <name val="Tahoma"/>
      <charset val="238"/>
    </font>
    <font>
      <b/>
      <sz val="9"/>
      <color indexed="81"/>
      <name val="Tahoma"/>
      <charset val="238"/>
    </font>
    <font>
      <sz val="10"/>
      <color indexed="20"/>
      <name val="Arial"/>
    </font>
    <font>
      <sz val="8"/>
      <color indexed="20"/>
      <name val="Arial"/>
      <family val="2"/>
    </font>
    <font>
      <sz val="10"/>
      <color indexed="20"/>
      <name val="Symbol"/>
      <family val="1"/>
      <charset val="2"/>
    </font>
    <font>
      <sz val="10"/>
      <color indexed="20"/>
      <name val="Times New Roman"/>
      <family val="1"/>
    </font>
    <font>
      <sz val="10"/>
      <color indexed="20"/>
      <name val="Symbol Tiger"/>
      <family val="1"/>
      <charset val="2"/>
    </font>
    <font>
      <sz val="10"/>
      <color indexed="20"/>
      <name val="Symbol Tiger Expert"/>
      <family val="1"/>
      <charset val="2"/>
    </font>
    <font>
      <sz val="10"/>
      <color indexed="20"/>
      <name val="Arial"/>
      <family val="2"/>
      <charset val="238"/>
    </font>
    <font>
      <sz val="12"/>
      <color indexed="16"/>
      <name val="Arial"/>
      <family val="2"/>
    </font>
    <font>
      <sz val="8"/>
      <color indexed="16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Symbol"/>
      <family val="1"/>
      <charset val="2"/>
    </font>
    <font>
      <sz val="8"/>
      <color indexed="20"/>
      <name val="Times New Roman"/>
      <family val="1"/>
    </font>
    <font>
      <b/>
      <sz val="10"/>
      <color indexed="60"/>
      <name val="Arial"/>
      <family val="2"/>
    </font>
    <font>
      <i/>
      <sz val="12"/>
      <name val="Times New Roman"/>
      <family val="1"/>
    </font>
    <font>
      <b/>
      <i/>
      <sz val="10"/>
      <name val="Arial"/>
      <family val="2"/>
    </font>
    <font>
      <b/>
      <i/>
      <u/>
      <sz val="12"/>
      <color indexed="8"/>
      <name val="Arial"/>
      <family val="2"/>
    </font>
    <font>
      <b/>
      <sz val="8"/>
      <color indexed="16"/>
      <name val="Arial"/>
      <family val="2"/>
    </font>
    <font>
      <sz val="9"/>
      <color indexed="16"/>
      <name val="Arial"/>
      <family val="2"/>
    </font>
    <font>
      <sz val="6"/>
      <name val="Arial"/>
      <family val="2"/>
    </font>
    <font>
      <sz val="9"/>
      <color indexed="8"/>
      <name val="Arial"/>
      <family val="2"/>
    </font>
    <font>
      <sz val="6"/>
      <color indexed="8"/>
      <name val="Arial"/>
      <family val="2"/>
    </font>
    <font>
      <b/>
      <i/>
      <sz val="12"/>
      <name val="Arial"/>
      <family val="2"/>
    </font>
    <font>
      <b/>
      <sz val="9"/>
      <color indexed="16"/>
      <name val="Arial"/>
      <family val="2"/>
    </font>
    <font>
      <sz val="10"/>
      <color indexed="21"/>
      <name val="Arial"/>
      <family val="2"/>
    </font>
    <font>
      <sz val="9"/>
      <color indexed="81"/>
      <name val="Symbol"/>
      <family val="1"/>
      <charset val="2"/>
    </font>
    <font>
      <b/>
      <sz val="11"/>
      <color indexed="16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color indexed="12"/>
      <name val="Times New Roman"/>
      <family val="1"/>
    </font>
    <font>
      <sz val="7"/>
      <color indexed="8"/>
      <name val="Arial"/>
      <family val="2"/>
    </font>
    <font>
      <sz val="10"/>
      <name val="ar"/>
      <charset val="204"/>
    </font>
    <font>
      <sz val="11"/>
      <color indexed="8"/>
      <name val="Times New Roman"/>
      <family val="1"/>
    </font>
    <font>
      <sz val="7"/>
      <color indexed="20"/>
      <name val="Arial"/>
      <family val="2"/>
    </font>
    <font>
      <sz val="8"/>
      <name val="Symbol"/>
      <family val="1"/>
      <charset val="2"/>
    </font>
    <font>
      <sz val="6"/>
      <name val="Symbol"/>
      <family val="1"/>
      <charset val="2"/>
    </font>
    <font>
      <sz val="12"/>
      <color indexed="16"/>
      <name val="Symbol"/>
      <family val="1"/>
      <charset val="2"/>
    </font>
    <font>
      <sz val="10"/>
      <color indexed="10"/>
      <name val="YU L Swiss"/>
      <family val="2"/>
    </font>
    <font>
      <sz val="11"/>
      <name val="Times New Roman"/>
      <family val="1"/>
    </font>
    <font>
      <sz val="8"/>
      <color indexed="21"/>
      <name val="Times New Roman"/>
      <family val="1"/>
    </font>
    <font>
      <sz val="11"/>
      <color indexed="14"/>
      <name val="Times New Roman"/>
      <family val="1"/>
    </font>
    <font>
      <b/>
      <sz val="14"/>
      <color indexed="8"/>
      <name val="Arial"/>
      <family val="2"/>
    </font>
    <font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2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Protection="1"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14" fontId="9" fillId="0" borderId="0" xfId="0" applyNumberFormat="1" applyFont="1" applyFill="1" applyBorder="1" applyAlignment="1" applyProtection="1">
      <alignment horizontal="left" vertical="center"/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Fill="1" applyBorder="1" applyProtection="1"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Fill="1" applyBorder="1" applyProtection="1">
      <protection hidden="1"/>
    </xf>
    <xf numFmtId="0" fontId="18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0" fontId="17" fillId="0" borderId="0" xfId="0" applyFont="1" applyBorder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25" fillId="0" borderId="0" xfId="0" applyFont="1" applyFill="1" applyProtection="1"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8" fillId="0" borderId="0" xfId="0" applyFont="1" applyBorder="1" applyProtection="1"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0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30" fillId="0" borderId="0" xfId="0" applyFont="1" applyFill="1" applyProtection="1">
      <protection hidden="1"/>
    </xf>
    <xf numFmtId="0" fontId="32" fillId="0" borderId="0" xfId="0" applyFo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35" fillId="0" borderId="1" xfId="0" applyFont="1" applyFill="1" applyBorder="1" applyAlignment="1" applyProtection="1">
      <alignment horizontal="right"/>
      <protection hidden="1"/>
    </xf>
    <xf numFmtId="0" fontId="38" fillId="0" borderId="0" xfId="0" applyFont="1" applyFill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45" fillId="0" borderId="0" xfId="0" applyFont="1" applyFill="1" applyBorder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47" fillId="0" borderId="0" xfId="0" applyFont="1" applyBorder="1" applyAlignment="1" applyProtection="1">
      <alignment vertical="center"/>
      <protection hidden="1"/>
    </xf>
    <xf numFmtId="0" fontId="3" fillId="0" borderId="2" xfId="0" applyFont="1" applyFill="1" applyBorder="1" applyAlignment="1" applyProtection="1">
      <alignment horizontal="left" vertical="center"/>
      <protection hidden="1"/>
    </xf>
    <xf numFmtId="0" fontId="3" fillId="0" borderId="3" xfId="0" applyFont="1" applyFill="1" applyBorder="1" applyAlignment="1" applyProtection="1">
      <alignment horizontal="left" vertical="center"/>
      <protection hidden="1"/>
    </xf>
    <xf numFmtId="0" fontId="0" fillId="0" borderId="4" xfId="0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59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Fill="1" applyProtection="1">
      <protection hidden="1"/>
    </xf>
    <xf numFmtId="0" fontId="38" fillId="0" borderId="0" xfId="0" applyFont="1" applyFill="1" applyBorder="1" applyAlignment="1" applyProtection="1">
      <alignment horizontal="right" vertical="center"/>
      <protection hidden="1"/>
    </xf>
    <xf numFmtId="0" fontId="17" fillId="0" borderId="0" xfId="0" applyFont="1" applyProtection="1">
      <protection hidden="1"/>
    </xf>
    <xf numFmtId="0" fontId="38" fillId="0" borderId="0" xfId="0" applyFont="1" applyFill="1" applyAlignment="1" applyProtection="1">
      <alignment horizontal="right"/>
      <protection hidden="1"/>
    </xf>
    <xf numFmtId="0" fontId="63" fillId="0" borderId="0" xfId="0" applyFont="1" applyProtection="1">
      <protection hidden="1"/>
    </xf>
    <xf numFmtId="0" fontId="63" fillId="0" borderId="0" xfId="0" applyFont="1" applyFill="1" applyProtection="1">
      <protection hidden="1"/>
    </xf>
    <xf numFmtId="0" fontId="38" fillId="0" borderId="0" xfId="0" applyFont="1" applyAlignment="1" applyProtection="1">
      <alignment horizontal="right"/>
      <protection hidden="1"/>
    </xf>
    <xf numFmtId="0" fontId="38" fillId="0" borderId="0" xfId="0" applyFont="1" applyAlignment="1" applyProtection="1">
      <alignment horizontal="right" vertical="center"/>
      <protection hidden="1"/>
    </xf>
    <xf numFmtId="0" fontId="63" fillId="0" borderId="0" xfId="0" applyFont="1" applyAlignment="1" applyProtection="1">
      <alignment horizontal="right" vertical="center"/>
      <protection hidden="1"/>
    </xf>
    <xf numFmtId="0" fontId="65" fillId="0" borderId="0" xfId="0" applyFont="1" applyFill="1" applyBorder="1" applyAlignment="1" applyProtection="1">
      <alignment horizontal="right" vertical="center"/>
      <protection hidden="1"/>
    </xf>
    <xf numFmtId="0" fontId="58" fillId="2" borderId="5" xfId="0" applyFont="1" applyFill="1" applyBorder="1" applyAlignment="1" applyProtection="1">
      <alignment horizontal="center" vertical="center"/>
      <protection locked="0"/>
    </xf>
    <xf numFmtId="0" fontId="26" fillId="0" borderId="5" xfId="0" applyFont="1" applyFill="1" applyBorder="1" applyAlignment="1" applyProtection="1">
      <alignment horizontal="center" vertical="center"/>
      <protection hidden="1"/>
    </xf>
    <xf numFmtId="0" fontId="29" fillId="0" borderId="5" xfId="0" applyFont="1" applyFill="1" applyBorder="1" applyAlignment="1" applyProtection="1">
      <alignment horizontal="center"/>
      <protection hidden="1"/>
    </xf>
    <xf numFmtId="0" fontId="26" fillId="0" borderId="6" xfId="0" applyFont="1" applyFill="1" applyBorder="1" applyAlignment="1" applyProtection="1">
      <alignment horizontal="center" vertical="center"/>
      <protection hidden="1"/>
    </xf>
    <xf numFmtId="0" fontId="34" fillId="0" borderId="6" xfId="0" applyFont="1" applyFill="1" applyBorder="1" applyAlignment="1" applyProtection="1">
      <alignment horizontal="center"/>
      <protection hidden="1"/>
    </xf>
    <xf numFmtId="0" fontId="26" fillId="0" borderId="5" xfId="0" applyFont="1" applyFill="1" applyBorder="1" applyAlignment="1" applyProtection="1">
      <alignment horizontal="center"/>
      <protection hidden="1"/>
    </xf>
    <xf numFmtId="0" fontId="26" fillId="0" borderId="5" xfId="0" applyNumberFormat="1" applyFont="1" applyFill="1" applyBorder="1" applyAlignment="1" applyProtection="1">
      <alignment horizontal="center"/>
      <protection hidden="1"/>
    </xf>
    <xf numFmtId="0" fontId="29" fillId="0" borderId="5" xfId="0" applyNumberFormat="1" applyFont="1" applyFill="1" applyBorder="1" applyAlignment="1" applyProtection="1">
      <alignment horizontal="center"/>
      <protection hidden="1"/>
    </xf>
    <xf numFmtId="0" fontId="29" fillId="0" borderId="5" xfId="0" quotePrefix="1" applyNumberFormat="1" applyFont="1" applyFill="1" applyBorder="1" applyAlignment="1" applyProtection="1">
      <alignment horizontal="center" vertical="center"/>
      <protection hidden="1"/>
    </xf>
    <xf numFmtId="0" fontId="29" fillId="0" borderId="5" xfId="0" applyFont="1" applyFill="1" applyBorder="1" applyAlignment="1" applyProtection="1">
      <alignment horizontal="center" vertical="center"/>
      <protection hidden="1"/>
    </xf>
    <xf numFmtId="0" fontId="57" fillId="0" borderId="0" xfId="0" applyFont="1" applyProtection="1">
      <protection hidden="1"/>
    </xf>
    <xf numFmtId="0" fontId="54" fillId="3" borderId="0" xfId="0" applyFont="1" applyFill="1" applyBorder="1" applyAlignment="1" applyProtection="1">
      <alignment vertical="center"/>
      <protection hidden="1"/>
    </xf>
    <xf numFmtId="0" fontId="32" fillId="0" borderId="0" xfId="0" applyFont="1" applyBorder="1" applyAlignment="1" applyProtection="1">
      <alignment vertical="center"/>
      <protection hidden="1"/>
    </xf>
    <xf numFmtId="0" fontId="26" fillId="0" borderId="7" xfId="0" applyFont="1" applyBorder="1" applyAlignment="1" applyProtection="1">
      <alignment horizontal="center" vertical="center"/>
      <protection hidden="1"/>
    </xf>
    <xf numFmtId="0" fontId="26" fillId="0" borderId="8" xfId="0" applyFont="1" applyBorder="1" applyAlignment="1" applyProtection="1">
      <alignment horizontal="center" vertical="center"/>
      <protection hidden="1"/>
    </xf>
    <xf numFmtId="0" fontId="26" fillId="0" borderId="9" xfId="0" applyFont="1" applyBorder="1" applyAlignment="1" applyProtection="1">
      <alignment horizontal="center" vertical="center"/>
      <protection hidden="1"/>
    </xf>
    <xf numFmtId="0" fontId="39" fillId="0" borderId="10" xfId="0" applyFont="1" applyBorder="1" applyAlignment="1" applyProtection="1">
      <alignment horizontal="center"/>
      <protection hidden="1"/>
    </xf>
    <xf numFmtId="0" fontId="49" fillId="0" borderId="11" xfId="0" applyFont="1" applyBorder="1" applyAlignment="1" applyProtection="1">
      <alignment horizontal="center"/>
      <protection hidden="1"/>
    </xf>
    <xf numFmtId="0" fontId="49" fillId="0" borderId="12" xfId="0" applyFont="1" applyBorder="1" applyAlignment="1" applyProtection="1">
      <alignment horizontal="center"/>
      <protection hidden="1"/>
    </xf>
    <xf numFmtId="0" fontId="26" fillId="0" borderId="13" xfId="0" applyFont="1" applyBorder="1" applyAlignment="1" applyProtection="1">
      <alignment horizontal="center" vertical="center"/>
      <protection hidden="1"/>
    </xf>
    <xf numFmtId="0" fontId="26" fillId="0" borderId="6" xfId="0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39" fillId="0" borderId="8" xfId="0" applyFont="1" applyBorder="1" applyAlignment="1" applyProtection="1">
      <alignment horizontal="center"/>
      <protection hidden="1"/>
    </xf>
    <xf numFmtId="0" fontId="39" fillId="0" borderId="15" xfId="0" applyFont="1" applyBorder="1" applyAlignment="1" applyProtection="1">
      <alignment horizontal="center"/>
      <protection hidden="1"/>
    </xf>
    <xf numFmtId="0" fontId="39" fillId="0" borderId="9" xfId="0" applyFont="1" applyBorder="1" applyAlignment="1" applyProtection="1">
      <alignment horizontal="center"/>
      <protection hidden="1"/>
    </xf>
    <xf numFmtId="0" fontId="15" fillId="4" borderId="5" xfId="0" applyNumberFormat="1" applyFont="1" applyFill="1" applyBorder="1" applyAlignment="1" applyProtection="1">
      <alignment horizontal="center" vertical="center"/>
      <protection locked="0"/>
    </xf>
    <xf numFmtId="0" fontId="21" fillId="4" borderId="5" xfId="0" applyNumberFormat="1" applyFont="1" applyFill="1" applyBorder="1" applyAlignment="1" applyProtection="1">
      <alignment horizontal="center" vertical="center"/>
      <protection locked="0"/>
    </xf>
    <xf numFmtId="0" fontId="21" fillId="5" borderId="5" xfId="0" applyFont="1" applyFill="1" applyBorder="1" applyAlignment="1" applyProtection="1">
      <alignment horizontal="center" vertical="center"/>
      <protection locked="0"/>
    </xf>
    <xf numFmtId="0" fontId="26" fillId="6" borderId="5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1" fillId="5" borderId="6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63" fillId="0" borderId="0" xfId="0" applyFont="1" applyFill="1" applyAlignment="1" applyProtection="1">
      <alignment horizontal="right"/>
      <protection hidden="1"/>
    </xf>
    <xf numFmtId="0" fontId="29" fillId="0" borderId="3" xfId="0" applyFont="1" applyFill="1" applyBorder="1" applyAlignment="1" applyProtection="1">
      <alignment horizontal="center" vertical="center"/>
      <protection hidden="1"/>
    </xf>
    <xf numFmtId="0" fontId="21" fillId="5" borderId="17" xfId="0" applyFont="1" applyFill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/>
      <protection hidden="1"/>
    </xf>
    <xf numFmtId="0" fontId="26" fillId="0" borderId="17" xfId="0" applyFont="1" applyFill="1" applyBorder="1" applyAlignment="1" applyProtection="1">
      <alignment horizontal="center"/>
      <protection hidden="1"/>
    </xf>
    <xf numFmtId="0" fontId="26" fillId="0" borderId="13" xfId="0" applyFont="1" applyFill="1" applyBorder="1" applyAlignment="1" applyProtection="1">
      <alignment horizontal="center"/>
      <protection hidden="1"/>
    </xf>
    <xf numFmtId="0" fontId="53" fillId="0" borderId="5" xfId="0" applyFont="1" applyFill="1" applyBorder="1" applyAlignment="1" applyProtection="1">
      <alignment horizontal="center"/>
      <protection hidden="1"/>
    </xf>
    <xf numFmtId="0" fontId="53" fillId="0" borderId="14" xfId="0" applyFont="1" applyFill="1" applyBorder="1" applyAlignment="1" applyProtection="1">
      <alignment horizontal="center"/>
      <protection hidden="1"/>
    </xf>
    <xf numFmtId="0" fontId="53" fillId="0" borderId="13" xfId="0" applyFont="1" applyFill="1" applyBorder="1" applyAlignment="1" applyProtection="1">
      <alignment horizontal="center"/>
      <protection hidden="1"/>
    </xf>
    <xf numFmtId="0" fontId="26" fillId="0" borderId="1" xfId="0" applyFont="1" applyFill="1" applyBorder="1" applyAlignment="1" applyProtection="1">
      <alignment horizontal="center"/>
      <protection hidden="1"/>
    </xf>
    <xf numFmtId="0" fontId="26" fillId="0" borderId="19" xfId="0" applyFont="1" applyFill="1" applyBorder="1" applyAlignment="1" applyProtection="1">
      <alignment horizontal="center"/>
      <protection hidden="1"/>
    </xf>
    <xf numFmtId="0" fontId="26" fillId="0" borderId="20" xfId="0" applyFont="1" applyFill="1" applyBorder="1" applyAlignment="1" applyProtection="1">
      <alignment horizontal="center"/>
      <protection hidden="1"/>
    </xf>
    <xf numFmtId="0" fontId="26" fillId="0" borderId="21" xfId="0" applyFont="1" applyFill="1" applyBorder="1" applyAlignment="1" applyProtection="1">
      <alignment horizontal="center"/>
      <protection hidden="1"/>
    </xf>
    <xf numFmtId="0" fontId="26" fillId="0" borderId="22" xfId="0" applyFont="1" applyFill="1" applyBorder="1" applyAlignment="1" applyProtection="1">
      <alignment horizontal="center"/>
      <protection hidden="1"/>
    </xf>
    <xf numFmtId="0" fontId="26" fillId="0" borderId="18" xfId="0" applyFont="1" applyFill="1" applyBorder="1" applyAlignment="1" applyProtection="1">
      <alignment horizontal="center"/>
      <protection hidden="1"/>
    </xf>
    <xf numFmtId="0" fontId="26" fillId="0" borderId="23" xfId="0" applyFont="1" applyFill="1" applyBorder="1" applyAlignment="1" applyProtection="1">
      <alignment horizontal="center"/>
      <protection hidden="1"/>
    </xf>
    <xf numFmtId="0" fontId="26" fillId="0" borderId="3" xfId="0" applyFont="1" applyFill="1" applyBorder="1" applyAlignment="1" applyProtection="1">
      <alignment horizontal="center"/>
      <protection hidden="1"/>
    </xf>
    <xf numFmtId="0" fontId="26" fillId="0" borderId="24" xfId="0" applyFont="1" applyFill="1" applyBorder="1" applyAlignment="1" applyProtection="1">
      <alignment horizontal="center"/>
      <protection hidden="1"/>
    </xf>
    <xf numFmtId="0" fontId="26" fillId="0" borderId="25" xfId="0" applyFont="1" applyFill="1" applyBorder="1" applyAlignment="1" applyProtection="1">
      <alignment horizontal="center"/>
      <protection hidden="1"/>
    </xf>
    <xf numFmtId="0" fontId="26" fillId="0" borderId="26" xfId="0" applyFont="1" applyFill="1" applyBorder="1" applyAlignment="1" applyProtection="1">
      <alignment horizontal="center"/>
      <protection hidden="1"/>
    </xf>
    <xf numFmtId="0" fontId="26" fillId="0" borderId="27" xfId="0" applyFont="1" applyFill="1" applyBorder="1" applyAlignment="1" applyProtection="1">
      <alignment horizontal="center"/>
      <protection hidden="1"/>
    </xf>
    <xf numFmtId="0" fontId="26" fillId="0" borderId="28" xfId="0" applyFont="1" applyFill="1" applyBorder="1" applyAlignment="1" applyProtection="1">
      <alignment horizontal="center"/>
      <protection hidden="1"/>
    </xf>
    <xf numFmtId="9" fontId="26" fillId="0" borderId="29" xfId="1" applyFont="1" applyFill="1" applyBorder="1" applyAlignment="1" applyProtection="1">
      <alignment horizontal="center"/>
      <protection hidden="1"/>
    </xf>
    <xf numFmtId="0" fontId="26" fillId="0" borderId="30" xfId="0" applyFont="1" applyFill="1" applyBorder="1" applyAlignment="1" applyProtection="1">
      <alignment horizontal="center"/>
      <protection hidden="1"/>
    </xf>
    <xf numFmtId="0" fontId="26" fillId="0" borderId="31" xfId="0" applyFont="1" applyFill="1" applyBorder="1" applyAlignment="1" applyProtection="1">
      <alignment horizontal="center"/>
      <protection hidden="1"/>
    </xf>
    <xf numFmtId="0" fontId="17" fillId="0" borderId="32" xfId="0" applyFont="1" applyFill="1" applyBorder="1" applyProtection="1">
      <protection hidden="1"/>
    </xf>
    <xf numFmtId="0" fontId="53" fillId="0" borderId="0" xfId="0" applyFont="1" applyProtection="1">
      <protection hidden="1"/>
    </xf>
    <xf numFmtId="0" fontId="53" fillId="0" borderId="33" xfId="0" applyFont="1" applyFill="1" applyBorder="1" applyAlignment="1" applyProtection="1">
      <alignment horizontal="center"/>
      <protection hidden="1"/>
    </xf>
    <xf numFmtId="0" fontId="26" fillId="7" borderId="34" xfId="0" applyFont="1" applyFill="1" applyBorder="1" applyAlignment="1" applyProtection="1">
      <alignment horizontal="center"/>
      <protection hidden="1"/>
    </xf>
    <xf numFmtId="0" fontId="26" fillId="7" borderId="35" xfId="0" applyFont="1" applyFill="1" applyBorder="1" applyAlignment="1" applyProtection="1">
      <alignment horizontal="center"/>
      <protection hidden="1"/>
    </xf>
    <xf numFmtId="0" fontId="74" fillId="0" borderId="0" xfId="0" applyFont="1" applyFill="1" applyBorder="1" applyAlignment="1" applyProtection="1">
      <alignment horizontal="right" vertical="center"/>
      <protection hidden="1"/>
    </xf>
    <xf numFmtId="0" fontId="40" fillId="0" borderId="0" xfId="0" applyFont="1" applyFill="1" applyBorder="1" applyAlignment="1" applyProtection="1">
      <alignment horizontal="left" vertical="center"/>
      <protection hidden="1"/>
    </xf>
    <xf numFmtId="0" fontId="26" fillId="0" borderId="36" xfId="0" applyFont="1" applyFill="1" applyBorder="1" applyAlignment="1" applyProtection="1">
      <alignment horizontal="center"/>
      <protection hidden="1"/>
    </xf>
    <xf numFmtId="0" fontId="59" fillId="0" borderId="0" xfId="0" applyFont="1" applyBorder="1" applyAlignment="1" applyProtection="1">
      <alignment horizontal="right" vertical="center"/>
      <protection hidden="1"/>
    </xf>
    <xf numFmtId="0" fontId="38" fillId="0" borderId="0" xfId="0" applyFont="1" applyFill="1" applyBorder="1" applyAlignment="1" applyProtection="1">
      <alignment horizontal="left" vertical="center"/>
      <protection hidden="1"/>
    </xf>
    <xf numFmtId="0" fontId="52" fillId="0" borderId="5" xfId="0" applyFont="1" applyFill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right"/>
      <protection hidden="1"/>
    </xf>
    <xf numFmtId="0" fontId="58" fillId="0" borderId="0" xfId="0" applyFont="1" applyFill="1" applyBorder="1" applyAlignment="1" applyProtection="1">
      <alignment horizontal="center"/>
      <protection hidden="1"/>
    </xf>
    <xf numFmtId="0" fontId="16" fillId="0" borderId="0" xfId="0" applyFont="1" applyFill="1" applyBorder="1" applyAlignment="1" applyProtection="1">
      <alignment horizontal="right" vertical="center"/>
      <protection hidden="1"/>
    </xf>
    <xf numFmtId="0" fontId="17" fillId="0" borderId="17" xfId="0" applyFont="1" applyBorder="1" applyAlignment="1" applyProtection="1">
      <alignment horizontal="left" vertical="center"/>
      <protection hidden="1"/>
    </xf>
    <xf numFmtId="0" fontId="18" fillId="0" borderId="4" xfId="0" applyFont="1" applyFill="1" applyBorder="1" applyProtection="1">
      <protection hidden="1"/>
    </xf>
    <xf numFmtId="0" fontId="19" fillId="0" borderId="6" xfId="0" applyFont="1" applyFill="1" applyBorder="1" applyAlignment="1" applyProtection="1">
      <alignment horizontal="center"/>
      <protection hidden="1"/>
    </xf>
    <xf numFmtId="0" fontId="18" fillId="0" borderId="5" xfId="0" applyFont="1" applyBorder="1" applyAlignment="1" applyProtection="1">
      <alignment horizontal="center" vertical="center"/>
      <protection hidden="1"/>
    </xf>
    <xf numFmtId="0" fontId="77" fillId="0" borderId="6" xfId="0" applyFont="1" applyFill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Protection="1">
      <protection hidden="1"/>
    </xf>
    <xf numFmtId="0" fontId="17" fillId="0" borderId="0" xfId="0" applyFont="1" applyBorder="1" applyProtection="1">
      <protection hidden="1"/>
    </xf>
    <xf numFmtId="0" fontId="46" fillId="0" borderId="0" xfId="0" applyFont="1" applyFill="1" applyBorder="1" applyAlignment="1" applyProtection="1">
      <alignment horizontal="right" vertical="center"/>
      <protection hidden="1"/>
    </xf>
    <xf numFmtId="0" fontId="78" fillId="0" borderId="0" xfId="0" applyFont="1" applyProtection="1">
      <protection hidden="1"/>
    </xf>
    <xf numFmtId="0" fontId="78" fillId="0" borderId="0" xfId="0" applyFont="1" applyFill="1" applyBorder="1" applyAlignment="1" applyProtection="1">
      <alignment horizontal="right"/>
      <protection hidden="1"/>
    </xf>
    <xf numFmtId="0" fontId="26" fillId="0" borderId="37" xfId="0" applyFont="1" applyFill="1" applyBorder="1" applyAlignment="1" applyProtection="1">
      <alignment horizontal="center"/>
      <protection hidden="1"/>
    </xf>
    <xf numFmtId="180" fontId="21" fillId="5" borderId="6" xfId="0" applyNumberFormat="1" applyFont="1" applyFill="1" applyBorder="1" applyAlignment="1" applyProtection="1">
      <alignment horizontal="center" vertical="center"/>
      <protection locked="0"/>
    </xf>
    <xf numFmtId="0" fontId="26" fillId="5" borderId="8" xfId="0" applyFont="1" applyFill="1" applyBorder="1" applyAlignment="1" applyProtection="1">
      <alignment horizontal="center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79" fillId="0" borderId="0" xfId="0" applyFont="1" applyProtection="1">
      <protection hidden="1"/>
    </xf>
    <xf numFmtId="0" fontId="26" fillId="0" borderId="35" xfId="0" applyFont="1" applyFill="1" applyBorder="1" applyAlignment="1" applyProtection="1">
      <alignment horizontal="center"/>
      <protection hidden="1"/>
    </xf>
    <xf numFmtId="0" fontId="26" fillId="0" borderId="10" xfId="0" applyFont="1" applyFill="1" applyBorder="1" applyAlignment="1" applyProtection="1">
      <alignment horizontal="center"/>
      <protection hidden="1"/>
    </xf>
    <xf numFmtId="0" fontId="79" fillId="0" borderId="0" xfId="0" applyFont="1" applyAlignment="1" applyProtection="1">
      <alignment horizontal="right"/>
      <protection hidden="1"/>
    </xf>
    <xf numFmtId="0" fontId="80" fillId="0" borderId="0" xfId="0" applyFont="1" applyBorder="1" applyAlignment="1" applyProtection="1">
      <alignment vertical="center"/>
      <protection hidden="1"/>
    </xf>
    <xf numFmtId="0" fontId="49" fillId="0" borderId="2" xfId="0" applyFont="1" applyBorder="1" applyAlignment="1" applyProtection="1">
      <alignment horizontal="center" vertical="center"/>
      <protection hidden="1"/>
    </xf>
    <xf numFmtId="0" fontId="49" fillId="0" borderId="38" xfId="0" applyFont="1" applyBorder="1" applyAlignment="1" applyProtection="1">
      <alignment horizontal="center"/>
      <protection hidden="1"/>
    </xf>
    <xf numFmtId="0" fontId="39" fillId="0" borderId="39" xfId="0" applyFont="1" applyBorder="1" applyAlignment="1" applyProtection="1">
      <alignment horizontal="center"/>
      <protection hidden="1"/>
    </xf>
    <xf numFmtId="0" fontId="49" fillId="0" borderId="19" xfId="0" applyFont="1" applyBorder="1" applyAlignment="1" applyProtection="1">
      <alignment horizontal="center"/>
      <protection hidden="1"/>
    </xf>
    <xf numFmtId="0" fontId="40" fillId="0" borderId="0" xfId="0" applyFont="1" applyFill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72" fillId="0" borderId="40" xfId="0" applyFont="1" applyFill="1" applyBorder="1" applyAlignment="1" applyProtection="1">
      <alignment horizontal="center"/>
      <protection hidden="1"/>
    </xf>
    <xf numFmtId="0" fontId="82" fillId="0" borderId="5" xfId="0" applyFont="1" applyFill="1" applyBorder="1" applyAlignment="1" applyProtection="1">
      <alignment horizontal="center" vertical="center"/>
      <protection hidden="1"/>
    </xf>
    <xf numFmtId="0" fontId="17" fillId="0" borderId="21" xfId="0" applyFont="1" applyBorder="1" applyAlignment="1" applyProtection="1">
      <alignment horizontal="center"/>
      <protection hidden="1"/>
    </xf>
    <xf numFmtId="0" fontId="17" fillId="0" borderId="41" xfId="0" applyFont="1" applyBorder="1" applyAlignment="1" applyProtection="1">
      <alignment horizontal="center"/>
      <protection hidden="1"/>
    </xf>
    <xf numFmtId="0" fontId="82" fillId="0" borderId="11" xfId="0" applyFont="1" applyFill="1" applyBorder="1" applyAlignment="1" applyProtection="1">
      <alignment horizontal="center"/>
      <protection hidden="1"/>
    </xf>
    <xf numFmtId="0" fontId="82" fillId="0" borderId="12" xfId="0" applyFont="1" applyFill="1" applyBorder="1" applyAlignment="1" applyProtection="1">
      <alignment horizontal="center"/>
      <protection hidden="1"/>
    </xf>
    <xf numFmtId="0" fontId="26" fillId="0" borderId="40" xfId="0" applyFont="1" applyFill="1" applyBorder="1" applyAlignment="1" applyProtection="1">
      <alignment horizontal="center"/>
      <protection hidden="1"/>
    </xf>
    <xf numFmtId="0" fontId="8" fillId="0" borderId="29" xfId="0" applyFont="1" applyFill="1" applyBorder="1" applyAlignment="1" applyProtection="1">
      <alignment horizontal="center" vertical="center"/>
      <protection hidden="1"/>
    </xf>
    <xf numFmtId="0" fontId="70" fillId="0" borderId="42" xfId="0" applyFont="1" applyFill="1" applyBorder="1" applyAlignment="1" applyProtection="1">
      <alignment horizontal="center"/>
      <protection hidden="1"/>
    </xf>
    <xf numFmtId="0" fontId="26" fillId="0" borderId="43" xfId="0" applyFont="1" applyFill="1" applyBorder="1" applyAlignment="1" applyProtection="1">
      <alignment horizontal="center"/>
      <protection hidden="1"/>
    </xf>
    <xf numFmtId="0" fontId="70" fillId="0" borderId="8" xfId="0" applyFont="1" applyFill="1" applyBorder="1" applyAlignment="1" applyProtection="1">
      <alignment horizontal="center" vertical="center"/>
      <protection hidden="1"/>
    </xf>
    <xf numFmtId="0" fontId="70" fillId="0" borderId="9" xfId="0" applyFont="1" applyFill="1" applyBorder="1" applyAlignment="1" applyProtection="1">
      <alignment horizontal="center" vertical="center"/>
      <protection hidden="1"/>
    </xf>
    <xf numFmtId="0" fontId="26" fillId="0" borderId="44" xfId="0" applyFont="1" applyFill="1" applyBorder="1" applyAlignment="1" applyProtection="1">
      <alignment horizontal="center"/>
      <protection hidden="1"/>
    </xf>
    <xf numFmtId="0" fontId="82" fillId="0" borderId="34" xfId="0" applyFont="1" applyFill="1" applyBorder="1" applyAlignment="1" applyProtection="1">
      <alignment horizontal="center" vertical="center"/>
      <protection hidden="1"/>
    </xf>
    <xf numFmtId="0" fontId="26" fillId="0" borderId="35" xfId="0" applyFont="1" applyFill="1" applyBorder="1" applyAlignment="1" applyProtection="1">
      <alignment horizontal="center" vertical="center"/>
      <protection hidden="1"/>
    </xf>
    <xf numFmtId="0" fontId="74" fillId="0" borderId="0" xfId="0" applyFont="1" applyFill="1" applyBorder="1" applyAlignment="1" applyProtection="1">
      <alignment horizontal="left" vertical="center"/>
      <protection hidden="1"/>
    </xf>
    <xf numFmtId="0" fontId="40" fillId="0" borderId="0" xfId="0" applyFont="1" applyFill="1" applyBorder="1" applyAlignment="1" applyProtection="1">
      <alignment horizontal="right" vertical="center"/>
      <protection hidden="1"/>
    </xf>
    <xf numFmtId="0" fontId="8" fillId="0" borderId="45" xfId="0" applyFont="1" applyFill="1" applyBorder="1" applyAlignment="1" applyProtection="1">
      <alignment horizontal="left"/>
      <protection hidden="1"/>
    </xf>
    <xf numFmtId="0" fontId="17" fillId="0" borderId="11" xfId="0" applyFont="1" applyBorder="1" applyAlignment="1" applyProtection="1">
      <alignment horizontal="left"/>
      <protection hidden="1"/>
    </xf>
    <xf numFmtId="0" fontId="17" fillId="0" borderId="24" xfId="0" applyFont="1" applyBorder="1" applyAlignment="1" applyProtection="1">
      <alignment horizontal="left"/>
      <protection hidden="1"/>
    </xf>
    <xf numFmtId="0" fontId="26" fillId="0" borderId="46" xfId="0" applyFont="1" applyFill="1" applyBorder="1" applyAlignment="1" applyProtection="1">
      <alignment horizontal="center"/>
      <protection hidden="1"/>
    </xf>
    <xf numFmtId="0" fontId="26" fillId="0" borderId="8" xfId="0" applyFont="1" applyFill="1" applyBorder="1" applyAlignment="1" applyProtection="1">
      <alignment horizontal="center" vertical="center"/>
      <protection hidden="1"/>
    </xf>
    <xf numFmtId="0" fontId="26" fillId="0" borderId="15" xfId="0" applyFont="1" applyFill="1" applyBorder="1" applyAlignment="1" applyProtection="1">
      <alignment horizontal="center"/>
      <protection hidden="1"/>
    </xf>
    <xf numFmtId="0" fontId="26" fillId="0" borderId="9" xfId="0" applyFont="1" applyFill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9" fillId="0" borderId="23" xfId="0" applyFont="1" applyBorder="1" applyAlignment="1" applyProtection="1">
      <alignment horizontal="center"/>
      <protection hidden="1"/>
    </xf>
    <xf numFmtId="0" fontId="82" fillId="0" borderId="47" xfId="0" applyFont="1" applyFill="1" applyBorder="1" applyAlignment="1" applyProtection="1">
      <alignment horizontal="center"/>
      <protection hidden="1"/>
    </xf>
    <xf numFmtId="0" fontId="3" fillId="0" borderId="48" xfId="0" applyFont="1" applyBorder="1" applyAlignment="1" applyProtection="1">
      <alignment horizontal="center" vertical="center"/>
      <protection hidden="1"/>
    </xf>
    <xf numFmtId="0" fontId="8" fillId="0" borderId="49" xfId="0" applyFont="1" applyBorder="1" applyAlignment="1" applyProtection="1">
      <alignment horizontal="center"/>
      <protection hidden="1"/>
    </xf>
    <xf numFmtId="0" fontId="29" fillId="0" borderId="50" xfId="0" applyFont="1" applyBorder="1" applyAlignment="1" applyProtection="1">
      <alignment horizontal="center"/>
      <protection hidden="1"/>
    </xf>
    <xf numFmtId="0" fontId="29" fillId="0" borderId="51" xfId="0" applyFont="1" applyBorder="1" applyAlignment="1" applyProtection="1">
      <alignment horizontal="center"/>
      <protection hidden="1"/>
    </xf>
    <xf numFmtId="0" fontId="71" fillId="0" borderId="52" xfId="0" applyFont="1" applyBorder="1" applyAlignment="1" applyProtection="1">
      <alignment horizontal="center" vertical="center" shrinkToFit="1"/>
      <protection hidden="1"/>
    </xf>
    <xf numFmtId="0" fontId="71" fillId="0" borderId="13" xfId="0" applyFont="1" applyBorder="1" applyAlignment="1" applyProtection="1">
      <alignment horizontal="center" vertical="center" shrinkToFit="1"/>
      <protection hidden="1"/>
    </xf>
    <xf numFmtId="0" fontId="71" fillId="0" borderId="37" xfId="0" applyFont="1" applyBorder="1" applyAlignment="1" applyProtection="1">
      <alignment horizontal="center" vertical="center" shrinkToFit="1"/>
      <protection hidden="1"/>
    </xf>
    <xf numFmtId="0" fontId="26" fillId="0" borderId="0" xfId="0" applyFont="1" applyFill="1" applyBorder="1" applyAlignment="1" applyProtection="1">
      <alignment horizontal="center" vertical="center"/>
      <protection hidden="1"/>
    </xf>
    <xf numFmtId="0" fontId="8" fillId="0" borderId="53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49" fillId="0" borderId="0" xfId="0" applyFont="1" applyProtection="1">
      <protection hidden="1"/>
    </xf>
    <xf numFmtId="0" fontId="71" fillId="0" borderId="5" xfId="0" applyFont="1" applyBorder="1" applyAlignment="1" applyProtection="1">
      <alignment horizontal="center" vertical="center" shrinkToFit="1"/>
      <protection hidden="1"/>
    </xf>
    <xf numFmtId="0" fontId="84" fillId="0" borderId="48" xfId="0" applyFont="1" applyBorder="1" applyAlignment="1" applyProtection="1">
      <alignment horizontal="center" vertical="center"/>
      <protection hidden="1"/>
    </xf>
    <xf numFmtId="0" fontId="44" fillId="0" borderId="10" xfId="0" applyFont="1" applyFill="1" applyBorder="1" applyAlignment="1" applyProtection="1">
      <alignment horizontal="left"/>
      <protection hidden="1"/>
    </xf>
    <xf numFmtId="0" fontId="44" fillId="0" borderId="40" xfId="0" applyFont="1" applyFill="1" applyBorder="1" applyAlignment="1" applyProtection="1">
      <alignment horizontal="left" vertical="center"/>
      <protection hidden="1"/>
    </xf>
    <xf numFmtId="0" fontId="8" fillId="0" borderId="54" xfId="0" applyFont="1" applyBorder="1" applyProtection="1">
      <protection hidden="1"/>
    </xf>
    <xf numFmtId="0" fontId="0" fillId="0" borderId="55" xfId="0" applyBorder="1" applyProtection="1">
      <protection hidden="1"/>
    </xf>
    <xf numFmtId="0" fontId="8" fillId="0" borderId="18" xfId="0" applyFont="1" applyBorder="1" applyProtection="1">
      <protection hidden="1"/>
    </xf>
    <xf numFmtId="0" fontId="0" fillId="0" borderId="56" xfId="0" applyBorder="1" applyProtection="1">
      <protection hidden="1"/>
    </xf>
    <xf numFmtId="0" fontId="0" fillId="0" borderId="57" xfId="0" applyBorder="1" applyProtection="1">
      <protection hidden="1"/>
    </xf>
    <xf numFmtId="0" fontId="0" fillId="0" borderId="58" xfId="0" applyBorder="1" applyProtection="1">
      <protection hidden="1"/>
    </xf>
    <xf numFmtId="0" fontId="8" fillId="0" borderId="49" xfId="0" applyFont="1" applyBorder="1" applyProtection="1">
      <protection hidden="1"/>
    </xf>
    <xf numFmtId="0" fontId="83" fillId="0" borderId="37" xfId="0" applyFont="1" applyBorder="1" applyProtection="1">
      <protection hidden="1"/>
    </xf>
    <xf numFmtId="0" fontId="44" fillId="0" borderId="16" xfId="0" applyFont="1" applyBorder="1" applyProtection="1">
      <protection hidden="1"/>
    </xf>
    <xf numFmtId="0" fontId="81" fillId="0" borderId="37" xfId="0" applyFont="1" applyBorder="1" applyAlignment="1" applyProtection="1">
      <alignment vertical="center" shrinkToFit="1"/>
      <protection hidden="1"/>
    </xf>
    <xf numFmtId="0" fontId="81" fillId="0" borderId="23" xfId="0" applyFont="1" applyFill="1" applyBorder="1" applyAlignment="1" applyProtection="1">
      <alignment horizontal="center"/>
      <protection hidden="1"/>
    </xf>
    <xf numFmtId="0" fontId="86" fillId="0" borderId="0" xfId="0" applyFont="1" applyProtection="1">
      <protection hidden="1"/>
    </xf>
    <xf numFmtId="0" fontId="3" fillId="0" borderId="55" xfId="0" applyFont="1" applyFill="1" applyBorder="1" applyAlignment="1" applyProtection="1">
      <alignment horizontal="left" vertical="center"/>
      <protection hidden="1"/>
    </xf>
    <xf numFmtId="0" fontId="3" fillId="0" borderId="55" xfId="0" applyFont="1" applyFill="1" applyBorder="1" applyAlignment="1" applyProtection="1">
      <alignment horizontal="center"/>
      <protection hidden="1"/>
    </xf>
    <xf numFmtId="0" fontId="3" fillId="0" borderId="56" xfId="0" applyFont="1" applyFill="1" applyBorder="1" applyAlignment="1" applyProtection="1">
      <alignment horizontal="right" vertical="center"/>
      <protection hidden="1"/>
    </xf>
    <xf numFmtId="0" fontId="3" fillId="0" borderId="56" xfId="0" applyFont="1" applyFill="1" applyBorder="1" applyAlignment="1" applyProtection="1">
      <alignment horizontal="left" vertical="center"/>
      <protection hidden="1"/>
    </xf>
    <xf numFmtId="0" fontId="3" fillId="0" borderId="56" xfId="0" applyFont="1" applyFill="1" applyBorder="1" applyAlignment="1" applyProtection="1">
      <alignment horizontal="center"/>
      <protection hidden="1"/>
    </xf>
    <xf numFmtId="0" fontId="39" fillId="0" borderId="56" xfId="0" applyFont="1" applyBorder="1" applyAlignment="1" applyProtection="1">
      <alignment horizontal="center"/>
      <protection hidden="1"/>
    </xf>
    <xf numFmtId="10" fontId="87" fillId="0" borderId="5" xfId="0" applyNumberFormat="1" applyFont="1" applyFill="1" applyBorder="1" applyAlignment="1" applyProtection="1">
      <alignment horizontal="center"/>
      <protection hidden="1"/>
    </xf>
    <xf numFmtId="0" fontId="71" fillId="0" borderId="20" xfId="0" applyFont="1" applyBorder="1" applyAlignment="1" applyProtection="1">
      <alignment horizontal="center" vertical="center" shrinkToFit="1"/>
      <protection hidden="1"/>
    </xf>
    <xf numFmtId="0" fontId="71" fillId="0" borderId="23" xfId="0" applyFont="1" applyBorder="1" applyAlignment="1" applyProtection="1">
      <alignment horizontal="center" vertical="center" shrinkToFit="1"/>
      <protection hidden="1"/>
    </xf>
    <xf numFmtId="0" fontId="72" fillId="0" borderId="32" xfId="0" applyFont="1" applyFill="1" applyBorder="1" applyAlignment="1" applyProtection="1">
      <alignment horizontal="center"/>
      <protection hidden="1"/>
    </xf>
    <xf numFmtId="0" fontId="72" fillId="0" borderId="41" xfId="0" applyFont="1" applyFill="1" applyBorder="1" applyAlignment="1" applyProtection="1">
      <alignment horizontal="center"/>
      <protection hidden="1"/>
    </xf>
    <xf numFmtId="0" fontId="72" fillId="0" borderId="11" xfId="0" applyFont="1" applyFill="1" applyBorder="1" applyAlignment="1" applyProtection="1">
      <alignment horizontal="left"/>
      <protection hidden="1"/>
    </xf>
    <xf numFmtId="0" fontId="72" fillId="0" borderId="24" xfId="0" applyFont="1" applyFill="1" applyBorder="1" applyAlignment="1" applyProtection="1">
      <alignment horizontal="left"/>
      <protection hidden="1"/>
    </xf>
    <xf numFmtId="0" fontId="40" fillId="3" borderId="40" xfId="0" applyFont="1" applyFill="1" applyBorder="1" applyAlignment="1" applyProtection="1">
      <alignment horizontal="center"/>
      <protection hidden="1"/>
    </xf>
    <xf numFmtId="0" fontId="26" fillId="3" borderId="23" xfId="0" applyFont="1" applyFill="1" applyBorder="1" applyAlignment="1" applyProtection="1">
      <alignment horizontal="center" vertical="center"/>
      <protection hidden="1"/>
    </xf>
    <xf numFmtId="0" fontId="81" fillId="3" borderId="23" xfId="0" applyFont="1" applyFill="1" applyBorder="1" applyAlignment="1" applyProtection="1">
      <alignment horizontal="center" vertical="center"/>
      <protection hidden="1"/>
    </xf>
    <xf numFmtId="0" fontId="26" fillId="3" borderId="5" xfId="0" applyFont="1" applyFill="1" applyBorder="1" applyAlignment="1" applyProtection="1">
      <alignment horizontal="center"/>
      <protection hidden="1"/>
    </xf>
    <xf numFmtId="0" fontId="88" fillId="0" borderId="5" xfId="0" quotePrefix="1" applyNumberFormat="1" applyFont="1" applyFill="1" applyBorder="1" applyAlignment="1" applyProtection="1">
      <alignment horizontal="center" vertical="center"/>
      <protection hidden="1"/>
    </xf>
    <xf numFmtId="0" fontId="92" fillId="0" borderId="0" xfId="0" applyFont="1" applyFill="1" applyBorder="1"/>
    <xf numFmtId="0" fontId="91" fillId="0" borderId="0" xfId="0" applyFont="1" applyProtection="1">
      <protection hidden="1"/>
    </xf>
    <xf numFmtId="0" fontId="93" fillId="0" borderId="0" xfId="0" applyFont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93" fillId="0" borderId="0" xfId="0" applyFont="1" applyAlignment="1" applyProtection="1">
      <alignment horizontal="right"/>
      <protection hidden="1"/>
    </xf>
    <xf numFmtId="0" fontId="18" fillId="0" borderId="0" xfId="0" applyFont="1" applyFill="1" applyAlignment="1" applyProtection="1">
      <alignment horizontal="right"/>
      <protection hidden="1"/>
    </xf>
    <xf numFmtId="0" fontId="40" fillId="0" borderId="0" xfId="0" applyFont="1" applyFill="1" applyAlignment="1" applyProtection="1">
      <alignment horizontal="center"/>
      <protection hidden="1"/>
    </xf>
    <xf numFmtId="0" fontId="95" fillId="0" borderId="0" xfId="0" applyFont="1" applyProtection="1">
      <protection hidden="1"/>
    </xf>
    <xf numFmtId="0" fontId="96" fillId="0" borderId="0" xfId="0" applyFont="1"/>
    <xf numFmtId="0" fontId="63" fillId="0" borderId="0" xfId="0" applyFont="1" applyAlignment="1" applyProtection="1">
      <alignment horizontal="left" vertical="center"/>
      <protection hidden="1"/>
    </xf>
    <xf numFmtId="0" fontId="26" fillId="5" borderId="50" xfId="0" applyFont="1" applyFill="1" applyBorder="1" applyAlignment="1" applyProtection="1">
      <alignment horizontal="center"/>
      <protection hidden="1"/>
    </xf>
    <xf numFmtId="0" fontId="98" fillId="0" borderId="16" xfId="0" applyFont="1" applyBorder="1" applyAlignment="1" applyProtection="1">
      <alignment horizontal="center"/>
      <protection hidden="1"/>
    </xf>
    <xf numFmtId="0" fontId="99" fillId="0" borderId="23" xfId="0" applyFont="1" applyBorder="1" applyProtection="1">
      <protection hidden="1"/>
    </xf>
    <xf numFmtId="0" fontId="38" fillId="0" borderId="0" xfId="0" applyFont="1" applyFill="1" applyBorder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9" fillId="0" borderId="0" xfId="0" quotePrefix="1" applyNumberFormat="1" applyFont="1" applyFill="1" applyBorder="1" applyAlignment="1" applyProtection="1">
      <alignment horizontal="center" vertical="center"/>
      <protection hidden="1"/>
    </xf>
    <xf numFmtId="0" fontId="77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35" fillId="0" borderId="0" xfId="0" applyFont="1" applyFill="1" applyBorder="1" applyAlignment="1" applyProtection="1">
      <alignment horizontal="right"/>
      <protection hidden="1"/>
    </xf>
    <xf numFmtId="0" fontId="40" fillId="0" borderId="0" xfId="0" applyFont="1" applyFill="1" applyBorder="1" applyAlignment="1" applyProtection="1">
      <alignment horizontal="center"/>
      <protection hidden="1"/>
    </xf>
    <xf numFmtId="0" fontId="3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 applyProtection="1">
      <alignment horizontal="right"/>
      <protection hidden="1"/>
    </xf>
    <xf numFmtId="0" fontId="15" fillId="0" borderId="0" xfId="0" quotePrefix="1" applyNumberFormat="1" applyFont="1" applyFill="1" applyBorder="1" applyAlignment="1" applyProtection="1">
      <alignment horizontal="center" vertical="center"/>
      <protection hidden="1"/>
    </xf>
    <xf numFmtId="0" fontId="88" fillId="0" borderId="0" xfId="0" quotePrefix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63" fillId="0" borderId="0" xfId="0" applyFont="1" applyFill="1" applyBorder="1" applyAlignment="1" applyProtection="1">
      <alignment horizontal="right" vertical="center"/>
      <protection hidden="1"/>
    </xf>
    <xf numFmtId="0" fontId="27" fillId="0" borderId="0" xfId="0" applyFont="1" applyFill="1" applyBorder="1" applyAlignment="1" applyProtection="1">
      <alignment vertical="center"/>
      <protection hidden="1"/>
    </xf>
    <xf numFmtId="0" fontId="30" fillId="0" borderId="0" xfId="0" applyFont="1" applyFill="1" applyBorder="1" applyAlignment="1" applyProtection="1">
      <alignment horizontal="right"/>
      <protection hidden="1"/>
    </xf>
    <xf numFmtId="0" fontId="21" fillId="0" borderId="0" xfId="0" quotePrefix="1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/>
      <protection hidden="1"/>
    </xf>
    <xf numFmtId="0" fontId="63" fillId="0" borderId="0" xfId="0" applyFont="1" applyFill="1" applyBorder="1" applyProtection="1">
      <protection hidden="1"/>
    </xf>
    <xf numFmtId="180" fontId="21" fillId="0" borderId="0" xfId="0" applyNumberFormat="1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Border="1" applyAlignment="1" applyProtection="1">
      <alignment horizontal="left" vertical="center"/>
      <protection hidden="1"/>
    </xf>
    <xf numFmtId="0" fontId="28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/>
    <xf numFmtId="0" fontId="95" fillId="0" borderId="0" xfId="0" applyFont="1" applyFill="1" applyBorder="1" applyProtection="1">
      <protection hidden="1"/>
    </xf>
    <xf numFmtId="0" fontId="63" fillId="0" borderId="0" xfId="0" applyFont="1" applyFill="1" applyBorder="1" applyAlignment="1" applyProtection="1">
      <alignment horizontal="left" vertical="center"/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0" fontId="100" fillId="0" borderId="3" xfId="0" applyFont="1" applyFill="1" applyBorder="1" applyAlignment="1" applyProtection="1">
      <alignment horizontal="center" vertical="center"/>
      <protection hidden="1"/>
    </xf>
    <xf numFmtId="0" fontId="100" fillId="0" borderId="59" xfId="0" applyFont="1" applyBorder="1" applyAlignment="1" applyProtection="1">
      <alignment horizontal="center" vertical="justify"/>
      <protection hidden="1"/>
    </xf>
    <xf numFmtId="0" fontId="100" fillId="0" borderId="9" xfId="0" applyFont="1" applyBorder="1" applyAlignment="1" applyProtection="1">
      <alignment horizontal="center" vertical="justify"/>
      <protection hidden="1"/>
    </xf>
    <xf numFmtId="0" fontId="43" fillId="0" borderId="48" xfId="0" applyFont="1" applyBorder="1" applyAlignment="1" applyProtection="1">
      <alignment horizontal="center"/>
      <protection hidden="1"/>
    </xf>
    <xf numFmtId="0" fontId="29" fillId="0" borderId="35" xfId="0" applyFont="1" applyBorder="1" applyAlignment="1" applyProtection="1">
      <alignment horizontal="center"/>
      <protection hidden="1"/>
    </xf>
    <xf numFmtId="0" fontId="29" fillId="0" borderId="56" xfId="0" applyFont="1" applyBorder="1" applyAlignment="1" applyProtection="1">
      <alignment horizontal="center"/>
      <protection hidden="1"/>
    </xf>
    <xf numFmtId="0" fontId="71" fillId="0" borderId="16" xfId="0" applyFont="1" applyBorder="1" applyAlignment="1" applyProtection="1">
      <alignment horizontal="center" vertical="center" shrinkToFit="1"/>
      <protection hidden="1"/>
    </xf>
    <xf numFmtId="0" fontId="26" fillId="3" borderId="5" xfId="0" applyNumberFormat="1" applyFont="1" applyFill="1" applyBorder="1" applyAlignment="1" applyProtection="1">
      <alignment horizontal="center"/>
      <protection hidden="1"/>
    </xf>
    <xf numFmtId="0" fontId="21" fillId="5" borderId="5" xfId="0" quotePrefix="1" applyNumberFormat="1" applyFont="1" applyFill="1" applyBorder="1" applyAlignment="1" applyProtection="1">
      <alignment horizontal="center" vertical="center"/>
      <protection locked="0"/>
    </xf>
    <xf numFmtId="0" fontId="101" fillId="0" borderId="0" xfId="0" applyFont="1" applyBorder="1" applyAlignment="1" applyProtection="1">
      <alignment horizontal="left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0" fontId="3" fillId="0" borderId="20" xfId="0" applyFont="1" applyFill="1" applyBorder="1" applyAlignment="1" applyProtection="1">
      <alignment horizontal="center" vertical="center"/>
      <protection hidden="1"/>
    </xf>
    <xf numFmtId="0" fontId="23" fillId="0" borderId="5" xfId="0" applyFont="1" applyFill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23" xfId="0" applyFont="1" applyFill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/>
      <protection hidden="1"/>
    </xf>
    <xf numFmtId="0" fontId="23" fillId="0" borderId="23" xfId="0" applyFont="1" applyBorder="1" applyAlignment="1" applyProtection="1">
      <alignment horizontal="center" vertical="center"/>
      <protection hidden="1"/>
    </xf>
    <xf numFmtId="0" fontId="20" fillId="0" borderId="5" xfId="0" applyFont="1" applyFill="1" applyBorder="1" applyAlignment="1" applyProtection="1">
      <alignment horizontal="center" vertical="center"/>
      <protection hidden="1"/>
    </xf>
    <xf numFmtId="0" fontId="38" fillId="0" borderId="5" xfId="0" applyFont="1" applyFill="1" applyBorder="1" applyAlignment="1" applyProtection="1">
      <alignment horizontal="center" vertical="center"/>
      <protection hidden="1"/>
    </xf>
    <xf numFmtId="0" fontId="38" fillId="0" borderId="23" xfId="0" applyFont="1" applyFill="1" applyBorder="1" applyAlignment="1" applyProtection="1">
      <alignment horizontal="center" vertical="center"/>
      <protection hidden="1"/>
    </xf>
    <xf numFmtId="0" fontId="21" fillId="5" borderId="29" xfId="0" applyFont="1" applyFill="1" applyBorder="1" applyAlignment="1" applyProtection="1">
      <alignment horizontal="center" vertical="center"/>
      <protection locked="0"/>
    </xf>
    <xf numFmtId="0" fontId="21" fillId="5" borderId="40" xfId="0" applyFont="1" applyFill="1" applyBorder="1" applyAlignment="1" applyProtection="1">
      <alignment horizontal="center"/>
      <protection locked="0"/>
    </xf>
    <xf numFmtId="0" fontId="21" fillId="5" borderId="8" xfId="0" applyFont="1" applyFill="1" applyBorder="1" applyAlignment="1" applyProtection="1">
      <alignment horizontal="center"/>
      <protection locked="0"/>
    </xf>
    <xf numFmtId="0" fontId="21" fillId="5" borderId="5" xfId="0" applyFont="1" applyFill="1" applyBorder="1" applyAlignment="1" applyProtection="1">
      <alignment horizontal="center"/>
      <protection locked="0"/>
    </xf>
    <xf numFmtId="0" fontId="21" fillId="5" borderId="37" xfId="0" applyFont="1" applyFill="1" applyBorder="1" applyAlignment="1" applyProtection="1">
      <alignment horizontal="center"/>
      <protection locked="0"/>
    </xf>
    <xf numFmtId="0" fontId="21" fillId="5" borderId="23" xfId="0" applyFont="1" applyFill="1" applyBorder="1" applyAlignment="1" applyProtection="1">
      <alignment horizontal="center"/>
      <protection locked="0"/>
    </xf>
    <xf numFmtId="0" fontId="21" fillId="5" borderId="22" xfId="0" applyFont="1" applyFill="1" applyBorder="1" applyAlignment="1" applyProtection="1">
      <alignment horizontal="center"/>
      <protection locked="0"/>
    </xf>
    <xf numFmtId="0" fontId="21" fillId="5" borderId="52" xfId="0" applyFont="1" applyFill="1" applyBorder="1" applyAlignment="1" applyProtection="1">
      <alignment horizontal="center"/>
      <protection locked="0"/>
    </xf>
    <xf numFmtId="0" fontId="21" fillId="5" borderId="20" xfId="0" applyFont="1" applyFill="1" applyBorder="1" applyAlignment="1" applyProtection="1">
      <alignment horizontal="center"/>
      <protection locked="0"/>
    </xf>
    <xf numFmtId="0" fontId="21" fillId="5" borderId="30" xfId="0" applyFont="1" applyFill="1" applyBorder="1" applyAlignment="1" applyProtection="1">
      <alignment horizontal="center"/>
      <protection locked="0"/>
    </xf>
    <xf numFmtId="0" fontId="21" fillId="5" borderId="44" xfId="0" applyFont="1" applyFill="1" applyBorder="1" applyAlignment="1" applyProtection="1">
      <alignment horizontal="center"/>
      <protection locked="0"/>
    </xf>
    <xf numFmtId="0" fontId="21" fillId="5" borderId="60" xfId="0" applyFont="1" applyFill="1" applyBorder="1" applyAlignment="1" applyProtection="1">
      <alignment horizontal="center"/>
      <protection locked="0"/>
    </xf>
    <xf numFmtId="0" fontId="21" fillId="5" borderId="28" xfId="0" applyFont="1" applyFill="1" applyBorder="1" applyAlignment="1" applyProtection="1">
      <alignment horizontal="center"/>
      <protection locked="0"/>
    </xf>
    <xf numFmtId="9" fontId="21" fillId="5" borderId="5" xfId="0" applyNumberFormat="1" applyFont="1" applyFill="1" applyBorder="1" applyAlignment="1" applyProtection="1">
      <alignment horizontal="center"/>
      <protection locked="0"/>
    </xf>
    <xf numFmtId="0" fontId="21" fillId="5" borderId="24" xfId="0" applyFont="1" applyFill="1" applyBorder="1" applyAlignment="1" applyProtection="1">
      <alignment horizontal="center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59" fillId="0" borderId="0" xfId="0" applyFont="1" applyFill="1" applyBorder="1" applyAlignment="1" applyProtection="1">
      <alignment horizontal="right" vertical="center"/>
      <protection hidden="1"/>
    </xf>
    <xf numFmtId="0" fontId="31" fillId="0" borderId="5" xfId="0" applyFont="1" applyBorder="1" applyAlignment="1" applyProtection="1">
      <alignment horizontal="center" vertical="center"/>
      <protection hidden="1"/>
    </xf>
    <xf numFmtId="0" fontId="58" fillId="0" borderId="5" xfId="0" applyFont="1" applyFill="1" applyBorder="1" applyAlignment="1" applyProtection="1">
      <alignment horizontal="center" vertical="center"/>
      <protection hidden="1"/>
    </xf>
    <xf numFmtId="0" fontId="17" fillId="0" borderId="5" xfId="0" applyFont="1" applyFill="1" applyBorder="1" applyAlignment="1" applyProtection="1">
      <alignment horizontal="center" vertical="center"/>
      <protection hidden="1"/>
    </xf>
    <xf numFmtId="0" fontId="17" fillId="0" borderId="5" xfId="0" applyFont="1" applyBorder="1" applyAlignment="1" applyProtection="1">
      <alignment horizontal="center" vertical="center"/>
      <protection hidden="1"/>
    </xf>
    <xf numFmtId="0" fontId="43" fillId="0" borderId="5" xfId="0" applyFont="1" applyBorder="1" applyAlignment="1" applyProtection="1">
      <alignment horizontal="center" vertical="center"/>
      <protection hidden="1"/>
    </xf>
    <xf numFmtId="0" fontId="71" fillId="0" borderId="5" xfId="0" applyFont="1" applyFill="1" applyBorder="1" applyAlignment="1" applyProtection="1">
      <alignment horizontal="center" vertical="center"/>
      <protection hidden="1"/>
    </xf>
    <xf numFmtId="0" fontId="18" fillId="0" borderId="5" xfId="0" applyFont="1" applyFill="1" applyBorder="1" applyAlignment="1" applyProtection="1">
      <alignment horizontal="center" vertical="center"/>
      <protection hidden="1"/>
    </xf>
    <xf numFmtId="0" fontId="43" fillId="0" borderId="5" xfId="0" applyFont="1" applyFill="1" applyBorder="1" applyAlignment="1" applyProtection="1">
      <alignment horizontal="center" vertical="center"/>
      <protection hidden="1"/>
    </xf>
    <xf numFmtId="0" fontId="17" fillId="0" borderId="16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7" fillId="0" borderId="10" xfId="0" applyFont="1" applyFill="1" applyBorder="1" applyAlignment="1" applyProtection="1">
      <alignment horizontal="center" vertical="center"/>
      <protection hidden="1"/>
    </xf>
    <xf numFmtId="0" fontId="3" fillId="0" borderId="44" xfId="0" applyFont="1" applyFill="1" applyBorder="1" applyAlignment="1" applyProtection="1">
      <alignment horizontal="center"/>
      <protection hidden="1"/>
    </xf>
    <xf numFmtId="0" fontId="17" fillId="0" borderId="28" xfId="0" applyFont="1" applyFill="1" applyBorder="1" applyAlignment="1" applyProtection="1">
      <alignment horizontal="center" vertical="center"/>
      <protection hidden="1"/>
    </xf>
    <xf numFmtId="0" fontId="17" fillId="0" borderId="8" xfId="0" applyFont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17" fillId="0" borderId="53" xfId="0" applyFont="1" applyFill="1" applyBorder="1" applyAlignment="1" applyProtection="1">
      <alignment horizontal="center"/>
      <protection hidden="1"/>
    </xf>
    <xf numFmtId="0" fontId="17" fillId="0" borderId="19" xfId="0" applyFont="1" applyBorder="1" applyAlignment="1" applyProtection="1">
      <alignment horizontal="center"/>
      <protection hidden="1"/>
    </xf>
    <xf numFmtId="0" fontId="17" fillId="0" borderId="18" xfId="0" applyFont="1" applyBorder="1" applyAlignment="1" applyProtection="1">
      <alignment horizontal="center"/>
      <protection hidden="1"/>
    </xf>
    <xf numFmtId="0" fontId="17" fillId="0" borderId="54" xfId="0" applyFont="1" applyBorder="1" applyAlignment="1" applyProtection="1">
      <alignment horizontal="center"/>
      <protection hidden="1"/>
    </xf>
    <xf numFmtId="0" fontId="0" fillId="0" borderId="59" xfId="0" applyBorder="1" applyAlignment="1" applyProtection="1">
      <alignment horizont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28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44" fillId="0" borderId="30" xfId="0" applyFont="1" applyBorder="1" applyAlignment="1" applyProtection="1">
      <alignment horizontal="center" vertical="center"/>
      <protection hidden="1"/>
    </xf>
    <xf numFmtId="0" fontId="73" fillId="5" borderId="4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" fillId="0" borderId="5" xfId="0" quotePrefix="1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02" fillId="0" borderId="0" xfId="0" applyFont="1"/>
    <xf numFmtId="0" fontId="103" fillId="0" borderId="0" xfId="0" applyFont="1" applyAlignment="1" applyProtection="1">
      <alignment horizontal="right"/>
      <protection hidden="1"/>
    </xf>
    <xf numFmtId="0" fontId="104" fillId="0" borderId="0" xfId="0" applyFont="1" applyAlignment="1">
      <alignment horizontal="left"/>
    </xf>
    <xf numFmtId="0" fontId="10" fillId="0" borderId="0" xfId="0" applyFont="1" applyFill="1" applyBorder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left"/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horizontal="left"/>
      <protection hidden="1"/>
    </xf>
    <xf numFmtId="0" fontId="13" fillId="0" borderId="0" xfId="0" applyFont="1" applyFill="1" applyBorder="1" applyAlignment="1" applyProtection="1">
      <protection hidden="1"/>
    </xf>
    <xf numFmtId="0" fontId="14" fillId="0" borderId="0" xfId="0" applyFont="1" applyFill="1" applyAlignment="1" applyProtection="1">
      <alignment horizontal="right"/>
      <protection hidden="1"/>
    </xf>
    <xf numFmtId="0" fontId="14" fillId="0" borderId="0" xfId="0" applyFont="1" applyFill="1" applyAlignment="1" applyProtection="1">
      <alignment horizontal="center"/>
      <protection hidden="1"/>
    </xf>
    <xf numFmtId="0" fontId="105" fillId="0" borderId="0" xfId="0" applyFont="1" applyFill="1" applyBorder="1" applyAlignment="1" applyProtection="1">
      <alignment horizontal="left"/>
      <protection hidden="1"/>
    </xf>
    <xf numFmtId="0" fontId="106" fillId="0" borderId="0" xfId="0" applyFont="1"/>
    <xf numFmtId="0" fontId="40" fillId="0" borderId="0" xfId="0" applyFont="1" applyFill="1" applyBorder="1" applyAlignment="1" applyProtection="1">
      <alignment horizontal="center" vertical="center"/>
      <protection hidden="1"/>
    </xf>
    <xf numFmtId="0" fontId="40" fillId="0" borderId="17" xfId="0" applyFont="1" applyFill="1" applyBorder="1" applyAlignment="1" applyProtection="1">
      <alignment horizontal="center" vertical="center"/>
      <protection hidden="1"/>
    </xf>
    <xf numFmtId="0" fontId="40" fillId="0" borderId="4" xfId="0" applyFont="1" applyFill="1" applyBorder="1" applyAlignment="1" applyProtection="1">
      <alignment horizontal="center" vertical="center"/>
      <protection hidden="1"/>
    </xf>
    <xf numFmtId="0" fontId="40" fillId="0" borderId="6" xfId="0" applyFont="1" applyFill="1" applyBorder="1" applyAlignment="1" applyProtection="1">
      <alignment horizontal="center" vertical="center"/>
      <protection hidden="1"/>
    </xf>
    <xf numFmtId="0" fontId="73" fillId="5" borderId="10" xfId="0" applyFont="1" applyFill="1" applyBorder="1" applyAlignment="1" applyProtection="1">
      <alignment horizontal="center"/>
      <protection locked="0"/>
    </xf>
    <xf numFmtId="0" fontId="73" fillId="5" borderId="45" xfId="0" applyFont="1" applyFill="1" applyBorder="1" applyAlignment="1" applyProtection="1">
      <alignment horizontal="center"/>
      <protection locked="0"/>
    </xf>
    <xf numFmtId="0" fontId="21" fillId="5" borderId="7" xfId="0" applyFont="1" applyFill="1" applyBorder="1" applyAlignment="1" applyProtection="1">
      <alignment horizontal="center" vertical="center"/>
      <protection locked="0"/>
    </xf>
    <xf numFmtId="0" fontId="21" fillId="5" borderId="61" xfId="0" applyFont="1" applyFill="1" applyBorder="1" applyAlignment="1" applyProtection="1">
      <alignment horizontal="center" vertical="center"/>
      <protection locked="0"/>
    </xf>
    <xf numFmtId="0" fontId="21" fillId="5" borderId="17" xfId="0" applyFont="1" applyFill="1" applyBorder="1" applyAlignment="1" applyProtection="1">
      <alignment horizontal="center" vertical="center"/>
      <protection locked="0"/>
    </xf>
    <xf numFmtId="0" fontId="21" fillId="5" borderId="6" xfId="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center" vertical="center"/>
      <protection hidden="1"/>
    </xf>
    <xf numFmtId="0" fontId="26" fillId="0" borderId="6" xfId="0" applyFont="1" applyFill="1" applyBorder="1" applyAlignment="1" applyProtection="1">
      <alignment horizontal="center" vertical="center"/>
      <protection hidden="1"/>
    </xf>
    <xf numFmtId="0" fontId="26" fillId="0" borderId="17" xfId="0" applyFont="1" applyFill="1" applyBorder="1" applyAlignment="1" applyProtection="1">
      <alignment horizontal="center"/>
      <protection hidden="1"/>
    </xf>
    <xf numFmtId="0" fontId="26" fillId="0" borderId="6" xfId="0" applyFont="1" applyFill="1" applyBorder="1" applyAlignment="1" applyProtection="1">
      <alignment horizontal="center"/>
      <protection hidden="1"/>
    </xf>
    <xf numFmtId="0" fontId="81" fillId="0" borderId="17" xfId="0" applyFont="1" applyFill="1" applyBorder="1" applyAlignment="1" applyProtection="1">
      <alignment horizontal="center" vertical="center"/>
      <protection hidden="1"/>
    </xf>
    <xf numFmtId="0" fontId="81" fillId="0" borderId="6" xfId="0" applyFont="1" applyFill="1" applyBorder="1" applyAlignment="1" applyProtection="1">
      <alignment horizontal="center" vertical="center"/>
      <protection hidden="1"/>
    </xf>
    <xf numFmtId="0" fontId="90" fillId="0" borderId="17" xfId="0" applyFont="1" applyFill="1" applyBorder="1" applyAlignment="1" applyProtection="1">
      <alignment horizontal="center" vertical="center"/>
      <protection hidden="1"/>
    </xf>
    <xf numFmtId="0" fontId="90" fillId="0" borderId="6" xfId="0" applyFont="1" applyFill="1" applyBorder="1" applyAlignment="1" applyProtection="1">
      <alignment horizontal="center" vertical="center"/>
      <protection hidden="1"/>
    </xf>
    <xf numFmtId="0" fontId="26" fillId="0" borderId="17" xfId="0" quotePrefix="1" applyNumberFormat="1" applyFont="1" applyFill="1" applyBorder="1" applyAlignment="1" applyProtection="1">
      <alignment horizontal="center" vertical="center"/>
      <protection hidden="1"/>
    </xf>
    <xf numFmtId="0" fontId="26" fillId="0" borderId="6" xfId="0" quotePrefix="1" applyNumberFormat="1" applyFont="1" applyFill="1" applyBorder="1" applyAlignment="1" applyProtection="1">
      <alignment horizontal="center" vertical="center"/>
      <protection hidden="1"/>
    </xf>
    <xf numFmtId="0" fontId="26" fillId="0" borderId="4" xfId="0" applyFont="1" applyFill="1" applyBorder="1" applyAlignment="1" applyProtection="1">
      <alignment horizontal="center" vertical="center"/>
      <protection hidden="1"/>
    </xf>
    <xf numFmtId="0" fontId="26" fillId="3" borderId="17" xfId="0" applyFont="1" applyFill="1" applyBorder="1" applyAlignment="1" applyProtection="1">
      <alignment horizontal="center" vertical="center"/>
      <protection hidden="1"/>
    </xf>
    <xf numFmtId="0" fontId="26" fillId="3" borderId="4" xfId="0" applyFont="1" applyFill="1" applyBorder="1" applyAlignment="1" applyProtection="1">
      <alignment horizontal="center" vertical="center"/>
      <protection hidden="1"/>
    </xf>
    <xf numFmtId="0" fontId="26" fillId="3" borderId="6" xfId="0" applyFont="1" applyFill="1" applyBorder="1" applyAlignment="1" applyProtection="1">
      <alignment horizontal="center" vertical="center"/>
      <protection hidden="1"/>
    </xf>
  </cellXfs>
  <cellStyles count="2">
    <cellStyle name="Normalan" xfId="0" builtinId="0"/>
    <cellStyle name="Procena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28575</xdr:rowOff>
    </xdr:from>
    <xdr:to>
      <xdr:col>2</xdr:col>
      <xdr:colOff>209550</xdr:colOff>
      <xdr:row>5</xdr:row>
      <xdr:rowOff>85725</xdr:rowOff>
    </xdr:to>
    <xdr:pic>
      <xdr:nvPicPr>
        <xdr:cNvPr id="6971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9429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1056" name="Text Box 32"/>
        <xdr:cNvSpPr txBox="1">
          <a:spLocks noChangeArrowheads="1"/>
        </xdr:cNvSpPr>
      </xdr:nvSpPr>
      <xdr:spPr bwMode="auto">
        <a:xfrm>
          <a:off x="130206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FF"/>
              </a:solidFill>
            </a:rPr>
            <a:t>Rikalovi} Milan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800080"/>
              </a:solidFill>
              <a:latin typeface="YU L Umrela"/>
            </a:rPr>
            <a:t>DOBO[ASTI RAZMENJIVA^I TOPLOTE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1057" name="Text Box 33"/>
        <xdr:cNvSpPr txBox="1">
          <a:spLocks noChangeArrowheads="1"/>
        </xdr:cNvSpPr>
      </xdr:nvSpPr>
      <xdr:spPr bwMode="auto">
        <a:xfrm>
          <a:off x="130206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sr-Latn-RS" sz="2000" b="0" i="0" u="none" strike="noStrike" baseline="0">
              <a:solidFill>
                <a:srgbClr val="008080"/>
              </a:solidFill>
              <a:latin typeface="YUPostAntiquaB"/>
            </a:rPr>
            <a:t>RATING  PROBLEM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058" name="Text Box 34"/>
        <xdr:cNvSpPr txBox="1">
          <a:spLocks noChangeArrowheads="1"/>
        </xdr:cNvSpPr>
      </xdr:nvSpPr>
      <xdr:spPr bwMode="auto">
        <a:xfrm>
          <a:off x="81629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1+R</a:t>
          </a:r>
          <a:r>
            <a:rPr lang="sr-Latn-RS" sz="1000" b="0" i="0" u="none" strike="noStrike" baseline="3000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059" name="Text Box 35"/>
        <xdr:cNvSpPr txBox="1">
          <a:spLocks noChangeArrowheads="1"/>
        </xdr:cNvSpPr>
      </xdr:nvSpPr>
      <xdr:spPr bwMode="auto">
        <a:xfrm>
          <a:off x="81629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R 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060" name="Text Box 36"/>
        <xdr:cNvSpPr txBox="1">
          <a:spLocks noChangeArrowheads="1"/>
        </xdr:cNvSpPr>
      </xdr:nvSpPr>
      <xdr:spPr bwMode="auto">
        <a:xfrm>
          <a:off x="81629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061" name="Text Box 37"/>
        <xdr:cNvSpPr txBox="1">
          <a:spLocks noChangeArrowheads="1"/>
        </xdr:cNvSpPr>
      </xdr:nvSpPr>
      <xdr:spPr bwMode="auto">
        <a:xfrm>
          <a:off x="81629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NTU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1062" name="Text Box 38"/>
        <xdr:cNvSpPr txBox="1">
          <a:spLocks noChangeArrowheads="1"/>
        </xdr:cNvSpPr>
      </xdr:nvSpPr>
      <xdr:spPr bwMode="auto">
        <a:xfrm>
          <a:off x="130206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1+R</a:t>
          </a:r>
          <a:r>
            <a:rPr lang="sr-Latn-RS" sz="1000" b="0" i="0" u="none" strike="noStrike" baseline="3000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1063" name="Text Box 39"/>
        <xdr:cNvSpPr txBox="1">
          <a:spLocks noChangeArrowheads="1"/>
        </xdr:cNvSpPr>
      </xdr:nvSpPr>
      <xdr:spPr bwMode="auto">
        <a:xfrm>
          <a:off x="130206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R 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1064" name="Text Box 40"/>
        <xdr:cNvSpPr txBox="1">
          <a:spLocks noChangeArrowheads="1"/>
        </xdr:cNvSpPr>
      </xdr:nvSpPr>
      <xdr:spPr bwMode="auto">
        <a:xfrm>
          <a:off x="130206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1065" name="Text Box 41"/>
        <xdr:cNvSpPr txBox="1">
          <a:spLocks noChangeArrowheads="1"/>
        </xdr:cNvSpPr>
      </xdr:nvSpPr>
      <xdr:spPr bwMode="auto">
        <a:xfrm>
          <a:off x="130206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NTU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21</xdr:col>
      <xdr:colOff>457200</xdr:colOff>
      <xdr:row>0</xdr:row>
      <xdr:rowOff>0</xdr:rowOff>
    </xdr:from>
    <xdr:to>
      <xdr:col>21</xdr:col>
      <xdr:colOff>447675</xdr:colOff>
      <xdr:row>0</xdr:row>
      <xdr:rowOff>0</xdr:rowOff>
    </xdr:to>
    <xdr:sp macro="" textlink="">
      <xdr:nvSpPr>
        <xdr:cNvPr id="6983" name="AutoShape 60"/>
        <xdr:cNvSpPr>
          <a:spLocks/>
        </xdr:cNvSpPr>
      </xdr:nvSpPr>
      <xdr:spPr bwMode="auto">
        <a:xfrm flipH="1">
          <a:off x="109061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21</xdr:col>
      <xdr:colOff>514350</xdr:colOff>
      <xdr:row>0</xdr:row>
      <xdr:rowOff>0</xdr:rowOff>
    </xdr:from>
    <xdr:to>
      <xdr:col>21</xdr:col>
      <xdr:colOff>447675</xdr:colOff>
      <xdr:row>0</xdr:row>
      <xdr:rowOff>0</xdr:rowOff>
    </xdr:to>
    <xdr:sp macro="" textlink="">
      <xdr:nvSpPr>
        <xdr:cNvPr id="6984" name="AutoShape 85"/>
        <xdr:cNvSpPr>
          <a:spLocks/>
        </xdr:cNvSpPr>
      </xdr:nvSpPr>
      <xdr:spPr bwMode="auto">
        <a:xfrm>
          <a:off x="1096327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0</xdr:row>
      <xdr:rowOff>0</xdr:rowOff>
    </xdr:from>
    <xdr:to>
      <xdr:col>21</xdr:col>
      <xdr:colOff>447675</xdr:colOff>
      <xdr:row>0</xdr:row>
      <xdr:rowOff>0</xdr:rowOff>
    </xdr:to>
    <xdr:sp macro="" textlink="">
      <xdr:nvSpPr>
        <xdr:cNvPr id="6985" name="AutoShape 109"/>
        <xdr:cNvSpPr>
          <a:spLocks/>
        </xdr:cNvSpPr>
      </xdr:nvSpPr>
      <xdr:spPr bwMode="auto">
        <a:xfrm flipH="1">
          <a:off x="109156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457200</xdr:colOff>
      <xdr:row>0</xdr:row>
      <xdr:rowOff>0</xdr:rowOff>
    </xdr:from>
    <xdr:to>
      <xdr:col>22</xdr:col>
      <xdr:colOff>447675</xdr:colOff>
      <xdr:row>0</xdr:row>
      <xdr:rowOff>0</xdr:rowOff>
    </xdr:to>
    <xdr:sp macro="" textlink="">
      <xdr:nvSpPr>
        <xdr:cNvPr id="6986" name="AutoShape 116"/>
        <xdr:cNvSpPr>
          <a:spLocks/>
        </xdr:cNvSpPr>
      </xdr:nvSpPr>
      <xdr:spPr bwMode="auto">
        <a:xfrm>
          <a:off x="1144905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14</xdr:col>
      <xdr:colOff>76200</xdr:colOff>
      <xdr:row>1</xdr:row>
      <xdr:rowOff>38100</xdr:rowOff>
    </xdr:from>
    <xdr:to>
      <xdr:col>16</xdr:col>
      <xdr:colOff>104775</xdr:colOff>
      <xdr:row>5</xdr:row>
      <xdr:rowOff>95250</xdr:rowOff>
    </xdr:to>
    <xdr:pic>
      <xdr:nvPicPr>
        <xdr:cNvPr id="6987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33350"/>
          <a:ext cx="9429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84</xdr:row>
          <xdr:rowOff>0</xdr:rowOff>
        </xdr:from>
        <xdr:to>
          <xdr:col>14</xdr:col>
          <xdr:colOff>114300</xdr:colOff>
          <xdr:row>85</xdr:row>
          <xdr:rowOff>0</xdr:rowOff>
        </xdr:to>
        <xdr:sp macro="" textlink="">
          <xdr:nvSpPr>
            <xdr:cNvPr id="1294" name="Object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428625</xdr:colOff>
      <xdr:row>99</xdr:row>
      <xdr:rowOff>0</xdr:rowOff>
    </xdr:from>
    <xdr:to>
      <xdr:col>21</xdr:col>
      <xdr:colOff>0</xdr:colOff>
      <xdr:row>99</xdr:row>
      <xdr:rowOff>0</xdr:rowOff>
    </xdr:to>
    <xdr:pic>
      <xdr:nvPicPr>
        <xdr:cNvPr id="6989" name="Picture 30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18230850"/>
          <a:ext cx="441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0</xdr:colOff>
      <xdr:row>51</xdr:row>
      <xdr:rowOff>0</xdr:rowOff>
    </xdr:from>
    <xdr:to>
      <xdr:col>29</xdr:col>
      <xdr:colOff>0</xdr:colOff>
      <xdr:row>74</xdr:row>
      <xdr:rowOff>152400</xdr:rowOff>
    </xdr:to>
    <xdr:pic>
      <xdr:nvPicPr>
        <xdr:cNvPr id="6990" name="Picture 2845" descr="Sl. 2.2-4a Uredjen i neuredjen cevni raspored u poduznom preseku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2225" y="9544050"/>
          <a:ext cx="0" cy="431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85725</xdr:colOff>
      <xdr:row>111</xdr:row>
      <xdr:rowOff>0</xdr:rowOff>
    </xdr:from>
    <xdr:to>
      <xdr:col>24</xdr:col>
      <xdr:colOff>333375</xdr:colOff>
      <xdr:row>111</xdr:row>
      <xdr:rowOff>0</xdr:rowOff>
    </xdr:to>
    <xdr:sp macro="" textlink="">
      <xdr:nvSpPr>
        <xdr:cNvPr id="3883" name="Text Box 2859"/>
        <xdr:cNvSpPr txBox="1">
          <a:spLocks noChangeArrowheads="1"/>
        </xdr:cNvSpPr>
      </xdr:nvSpPr>
      <xdr:spPr bwMode="auto">
        <a:xfrm>
          <a:off x="7791450" y="20402550"/>
          <a:ext cx="45720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sr-Latn-RS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Geometrijske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veličine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mrežnog rasporeda </a:t>
          </a:r>
        </a:p>
        <a:p>
          <a:pPr algn="l" rtl="0">
            <a:defRPr sz="1000"/>
          </a:pPr>
          <a:endParaRPr lang="sr-Latn-RS" sz="10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Oznake: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</a:t>
          </a:r>
          <a:r>
            <a:rPr lang="sr-Latn-R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spoljašnji i unutrašnji pre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č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nik omota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č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s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debljina omota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č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a,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cotl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ckr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otl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– prečnik centar kruga bilo kog otvora, maksimalni 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             prečnik kruga otvora, prečnik kruga kolone k i reda r, prečnik outer tube limit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H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– prečnik segmentne pregrade i visina okna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tm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- debljina cevne ploče max, srednji poluprečnik savijanja U cevi</a:t>
          </a:r>
        </a:p>
        <a:p>
          <a:pPr algn="l" rtl="0">
            <a:defRPr sz="1000"/>
          </a:pP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ds, du 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spoljnji i unutrašnji pre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č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nik cevi,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s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debljina zida cevi</a:t>
          </a:r>
        </a:p>
        <a:p>
          <a:pPr algn="l" rtl="0">
            <a:defRPr sz="1000"/>
          </a:pP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kh , kv ; kho , kvo ; kh</a:t>
          </a:r>
          <a:r>
            <a:rPr lang="sr-Latn-R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</a:t>
          </a:r>
          <a:r>
            <a:rPr lang="sr-Latn-R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kv</a:t>
          </a:r>
          <a:r>
            <a:rPr lang="sr-Latn-R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horizontalni i vertikalni koraci: teku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ć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i, nulti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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</a:t>
          </a:r>
          <a:r>
            <a:rPr lang="sr-Latn-R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</a:t>
          </a:r>
          <a:r>
            <a:rPr lang="sr-Latn-RS" sz="12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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</a:t>
          </a:r>
          <a:r>
            <a:rPr lang="sr-Latn-R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</a:t>
          </a:r>
          <a:r>
            <a:rPr lang="sr-Latn-RS" sz="12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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sr-Latn-R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</a:t>
          </a:r>
          <a:r>
            <a:rPr lang="sr-Latn-RS" sz="12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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</a:t>
          </a:r>
          <a:r>
            <a:rPr lang="sr-Latn-R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</a:t>
          </a:r>
          <a:r>
            <a:rPr lang="sr-Latn-RS" sz="12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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cev-unutrašnji zid omotača, h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orizontalno, vertikalno i 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koso rastojanje izme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đ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 cevi,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2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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minimalno rastojanje izme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đ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 cevi i pregrade</a:t>
          </a:r>
        </a:p>
        <a:p>
          <a:pPr algn="l" rtl="0">
            <a:defRPr sz="1000"/>
          </a:pPr>
          <a:r>
            <a:rPr lang="sr-Latn-RS" sz="1200" b="0" i="1" u="none" strike="noStrike" baseline="0">
              <a:solidFill>
                <a:srgbClr val="000000"/>
              </a:solidFill>
              <a:latin typeface="Symbol"/>
            </a:rPr>
            <a:t>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minimalno rastojanje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oboda pregrade i unutrašnje površine omotača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s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kp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rp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– rastojanje neosne podužne pregrade od ose, debljina  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pregrade, broj kolone ili reda neosne pregrade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ho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vo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– horizontalni, vertikalni i kosi korak, početni (nulti) koraci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t, </a:t>
          </a:r>
          <a:r>
            <a:rPr lang="sr-Latn-RS" sz="10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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</a:t>
          </a:r>
          <a:r>
            <a:rPr lang="sr-Latn-RS" sz="10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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– tube pitch, rastojanje između cevi na tube pitch, </a:t>
          </a:r>
          <a:r>
            <a:rPr lang="sr-Latn-RS" sz="1000" b="0" i="1" u="none" strike="noStrike" baseline="0">
              <a:solidFill>
                <a:srgbClr val="000000"/>
              </a:solidFill>
              <a:latin typeface="Symbol"/>
              <a:cs typeface="Times New Roman CE"/>
            </a:rPr>
            <a:t>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=t/d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– faktor mreže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B, B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pru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B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pri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– osni razmak između poprečnih pregrada, na mestu ulaza i izlaza </a:t>
          </a:r>
        </a:p>
        <a:p>
          <a:pPr algn="l" rtl="0">
            <a:defRPr sz="1000"/>
          </a:pP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pg,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zg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– prednji i zadnji razmak poprečne pregrade i unutrašnje površine glave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bC</a:t>
          </a:r>
          <a:r>
            <a:rPr lang="sr-Latn-RS" sz="11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je rastojanje zadnje poprečne pregrade od luka savijanja U cevi</a:t>
          </a:r>
          <a:endParaRPr lang="sr-Latn-RS" sz="5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Latn-R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bB</a:t>
          </a:r>
          <a:r>
            <a:rPr lang="sr-Latn-R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je preostalo r</a:t>
          </a:r>
          <a:r>
            <a:rPr lang="sr-Latn-RS" sz="11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astojanje podužne pregrade od zadnje poprečne pregrade</a:t>
          </a:r>
        </a:p>
        <a:p>
          <a:pPr algn="l" rtl="0">
            <a:defRPr sz="1000"/>
          </a:pPr>
          <a:r>
            <a:rPr lang="sr-Latn-R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bk</a:t>
          </a:r>
          <a:r>
            <a:rPr lang="sr-Latn-RS" sz="11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je konzolno rastojanje od zadnje poprečne pregrade do kraja bunta</a:t>
          </a:r>
        </a:p>
        <a:p>
          <a:pPr algn="l" rtl="0">
            <a:defRPr sz="1000"/>
          </a:pPr>
          <a:r>
            <a:rPr lang="sr-Latn-R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bpg</a:t>
          </a:r>
          <a:r>
            <a:rPr lang="sr-Latn-RS" sz="11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je rastojanje od zadnje poprečne pregrade do plivajuće glave</a:t>
          </a:r>
          <a:endParaRPr lang="sr-Latn-RS" sz="5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L, L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L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tb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– dužine u razmenjivaču,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efektivna prava dužina cevi,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dužina cevi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za ubacivanje u bunt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=L+2e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za prave cevi,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Ltm = 2L+</a:t>
          </a:r>
          <a:r>
            <a:rPr lang="sr-Latn-RS" sz="10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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rtm+e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max. dužina U cevi,     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tb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dužina U bunta,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tb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=L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za prave cevi,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tb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=L+r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tm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+e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za U cevi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Aj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0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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jedini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č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na površina cevnog rasporeda, mrežni ugao struje 30,45,60,90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=2k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2k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/2 – P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 P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</a:t>
          </a:r>
          <a:r>
            <a:rPr lang="sr-Latn-RS" sz="10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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/4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površina otvora cevi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z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z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z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– broj prolaza u cevi, broj prolaza oko cevi i broj poprečnih prolaza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n, 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II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III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 broj otv.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u cev. ploči, broj U cevi, broj otvora po komorama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kr,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C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kr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– otvor k-te kolone i t-tog reda, tačka centra kruga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ri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– broj cevi u koloni ili redu, npr. n</a:t>
          </a:r>
          <a:r>
            <a:rPr lang="sr-Latn-R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k3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=5, 5 otvora u trećoj koloni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– ukupan broj pop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rečnih segmentnih pergrada (sigl ili dubl) po preseku bunta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ri,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ri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– broj kolone ili reda, npr. N</a:t>
          </a:r>
          <a:r>
            <a:rPr lang="sr-Latn-R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k4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– četvrta kolona, rastojanje 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k-te kolone i r-tog reda od ose (koordinata kolone ili reda) 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ekvivalentni pre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čnik doboša (bitan za strujne i termičke proračune) je 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             odnos četvorostrukog preseka strujanja i okvašenog obima,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=4S/O</a:t>
          </a:r>
          <a:endParaRPr lang="sr-Latn-R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r-Latn-R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276225</xdr:colOff>
          <xdr:row>56</xdr:row>
          <xdr:rowOff>104775</xdr:rowOff>
        </xdr:from>
        <xdr:to>
          <xdr:col>22</xdr:col>
          <xdr:colOff>314325</xdr:colOff>
          <xdr:row>60</xdr:row>
          <xdr:rowOff>142875</xdr:rowOff>
        </xdr:to>
        <xdr:sp macro="" textlink="">
          <xdr:nvSpPr>
            <xdr:cNvPr id="3958" name="Object 2934" hidden="1">
              <a:extLst>
                <a:ext uri="{63B3BB69-23CF-44E3-9099-C40C66FF867C}">
                  <a14:compatExt spid="_x0000_s3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56</xdr:row>
          <xdr:rowOff>104775</xdr:rowOff>
        </xdr:from>
        <xdr:to>
          <xdr:col>20</xdr:col>
          <xdr:colOff>304800</xdr:colOff>
          <xdr:row>60</xdr:row>
          <xdr:rowOff>152400</xdr:rowOff>
        </xdr:to>
        <xdr:sp macro="" textlink="">
          <xdr:nvSpPr>
            <xdr:cNvPr id="3959" name="Object 2935" hidden="1">
              <a:extLst>
                <a:ext uri="{63B3BB69-23CF-44E3-9099-C40C66FF867C}">
                  <a14:compatExt spid="_x0000_s3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37</xdr:row>
          <xdr:rowOff>0</xdr:rowOff>
        </xdr:from>
        <xdr:to>
          <xdr:col>28</xdr:col>
          <xdr:colOff>0</xdr:colOff>
          <xdr:row>38</xdr:row>
          <xdr:rowOff>123825</xdr:rowOff>
        </xdr:to>
        <xdr:sp macro="" textlink="">
          <xdr:nvSpPr>
            <xdr:cNvPr id="4032" name="Object 3008" hidden="1">
              <a:extLst>
                <a:ext uri="{63B3BB69-23CF-44E3-9099-C40C66FF867C}">
                  <a14:compatExt spid="_x0000_s4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40" name="Text Box 3016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FF"/>
              </a:solidFill>
            </a:rPr>
            <a:t>Rikalovi} Milan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800080"/>
              </a:solidFill>
              <a:latin typeface="YU L Umrela"/>
            </a:rPr>
            <a:t>DOBO[ASTI RAZMENJIVA^I TOPLOTE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41" name="Text Box 3017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sr-Latn-RS" sz="2000" b="0" i="0" u="none" strike="noStrike" baseline="0">
              <a:solidFill>
                <a:srgbClr val="008080"/>
              </a:solidFill>
              <a:latin typeface="YUPostAntiquaB"/>
            </a:rPr>
            <a:t>GEOMETRIJA RT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42" name="Text Box 3018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sr-Latn-RS" sz="2000" b="0" i="0" u="none" strike="noStrike" baseline="0">
              <a:solidFill>
                <a:srgbClr val="008080"/>
              </a:solidFill>
              <a:latin typeface="YUPostAntiquaB"/>
            </a:rPr>
            <a:t>RATING  PROBLEM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43" name="Text Box 3019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FF"/>
              </a:solidFill>
            </a:rPr>
            <a:t>Rikalovi} Milan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800080"/>
              </a:solidFill>
              <a:latin typeface="YU L Umrela"/>
            </a:rPr>
            <a:t>DOBO[ASTI RAZMENJIVA^I TOPLOTE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44" name="Text Box 3020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sr-Latn-RS" sz="2000" b="0" i="0" u="none" strike="noStrike" baseline="0">
              <a:solidFill>
                <a:srgbClr val="008080"/>
              </a:solidFill>
              <a:latin typeface="YUPostAntiquaB"/>
            </a:rPr>
            <a:t>RATING  PROBLEM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45" name="Text Box 3021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1+R</a:t>
          </a:r>
          <a:r>
            <a:rPr lang="sr-Latn-RS" sz="1000" b="0" i="0" u="none" strike="noStrike" baseline="3000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46" name="Text Box 3022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R 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47" name="Text Box 3023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48" name="Text Box 3024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NTU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49" name="Text Box 3025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1+R</a:t>
          </a:r>
          <a:r>
            <a:rPr lang="sr-Latn-RS" sz="1000" b="0" i="0" u="none" strike="noStrike" baseline="3000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50" name="Text Box 3026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R 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51" name="Text Box 3027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52" name="Text Box 3028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NTU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pSp>
      <xdr:nvGrpSpPr>
        <xdr:cNvPr id="7005" name="Group 3029"/>
        <xdr:cNvGrpSpPr>
          <a:grpSpLocks/>
        </xdr:cNvGrpSpPr>
      </xdr:nvGrpSpPr>
      <xdr:grpSpPr bwMode="auto">
        <a:xfrm>
          <a:off x="14069786" y="0"/>
          <a:ext cx="0" cy="0"/>
          <a:chOff x="357" y="241"/>
          <a:chExt cx="157" cy="54"/>
        </a:xfrm>
      </xdr:grpSpPr>
      <xdr:sp macro="" textlink="">
        <xdr:nvSpPr>
          <xdr:cNvPr id="4054" name="Text Box 3030"/>
          <xdr:cNvSpPr txBox="1">
            <a:spLocks noChangeArrowheads="1"/>
          </xdr:cNvSpPr>
        </xdr:nvSpPr>
        <xdr:spPr bwMode="auto">
          <a:xfrm>
            <a:off x="1399222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sr-Latn-RS" sz="1000" b="0" i="0" u="none" strike="noStrike" baseline="0">
                <a:solidFill>
                  <a:srgbClr val="000000"/>
                </a:solidFill>
                <a:latin typeface="Symbol"/>
              </a:rPr>
              <a:t>d</a:t>
            </a:r>
          </a:p>
        </xdr:txBody>
      </xdr:sp>
      <xdr:sp macro="" textlink="">
        <xdr:nvSpPr>
          <xdr:cNvPr id="4055" name="Text Box 3031"/>
          <xdr:cNvSpPr txBox="1">
            <a:spLocks noChangeArrowheads="1"/>
          </xdr:cNvSpPr>
        </xdr:nvSpPr>
        <xdr:spPr bwMode="auto">
          <a:xfrm>
            <a:off x="1399222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sr-Latn-R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xdr:txBody>
      </xdr:sp>
      <xdr:sp macro="" textlink="">
        <xdr:nvSpPr>
          <xdr:cNvPr id="4056" name="Text Box 3032"/>
          <xdr:cNvSpPr txBox="1">
            <a:spLocks noChangeArrowheads="1"/>
          </xdr:cNvSpPr>
        </xdr:nvSpPr>
        <xdr:spPr bwMode="auto">
          <a:xfrm>
            <a:off x="1399222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sr-Latn-R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=</a:t>
            </a:r>
          </a:p>
        </xdr:txBody>
      </xdr:sp>
      <xdr:sp macro="" textlink="">
        <xdr:nvSpPr>
          <xdr:cNvPr id="4057" name="Text Box 3033"/>
          <xdr:cNvSpPr txBox="1">
            <a:spLocks noChangeArrowheads="1"/>
          </xdr:cNvSpPr>
        </xdr:nvSpPr>
        <xdr:spPr bwMode="auto">
          <a:xfrm>
            <a:off x="1399222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sr-Latn-R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+ </a:t>
            </a:r>
          </a:p>
        </xdr:txBody>
      </xdr:sp>
      <xdr:sp macro="" textlink="">
        <xdr:nvSpPr>
          <xdr:cNvPr id="4058" name="Text Box 3034"/>
          <xdr:cNvSpPr txBox="1">
            <a:spLocks noChangeArrowheads="1"/>
          </xdr:cNvSpPr>
        </xdr:nvSpPr>
        <xdr:spPr bwMode="auto">
          <a:xfrm>
            <a:off x="1399222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sr-Latn-R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</a:p>
        </xdr:txBody>
      </xdr:sp>
      <xdr:sp macro="" textlink="">
        <xdr:nvSpPr>
          <xdr:cNvPr id="4059" name="Text Box 3035"/>
          <xdr:cNvSpPr txBox="1">
            <a:spLocks noChangeArrowheads="1"/>
          </xdr:cNvSpPr>
        </xdr:nvSpPr>
        <xdr:spPr bwMode="auto">
          <a:xfrm>
            <a:off x="1399222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sr-Latn-R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xdr:txBody>
      </xdr:sp>
      <xdr:sp macro="" textlink="">
        <xdr:nvSpPr>
          <xdr:cNvPr id="4060" name="Text Box 3036"/>
          <xdr:cNvSpPr txBox="1">
            <a:spLocks noChangeArrowheads="1"/>
          </xdr:cNvSpPr>
        </xdr:nvSpPr>
        <xdr:spPr bwMode="auto">
          <a:xfrm>
            <a:off x="1399222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sr-Latn-R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</a:t>
            </a:r>
            <a:r>
              <a:rPr lang="sr-Latn-R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</a:t>
            </a:r>
          </a:p>
        </xdr:txBody>
      </xdr:sp>
      <xdr:sp macro="" textlink="">
        <xdr:nvSpPr>
          <xdr:cNvPr id="4061" name="Text Box 3037"/>
          <xdr:cNvSpPr txBox="1">
            <a:spLocks noChangeArrowheads="1"/>
          </xdr:cNvSpPr>
        </xdr:nvSpPr>
        <xdr:spPr bwMode="auto">
          <a:xfrm>
            <a:off x="1399222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sr-Latn-R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xdr:txBody>
      </xdr:sp>
      <xdr:sp macro="" textlink="">
        <xdr:nvSpPr>
          <xdr:cNvPr id="7108" name="Line 3038"/>
          <xdr:cNvSpPr>
            <a:spLocks noChangeShapeType="1"/>
          </xdr:cNvSpPr>
        </xdr:nvSpPr>
        <xdr:spPr bwMode="auto">
          <a:xfrm>
            <a:off x="434" y="268"/>
            <a:ext cx="3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63" name="Text Box 3039"/>
          <xdr:cNvSpPr txBox="1">
            <a:spLocks noChangeArrowheads="1"/>
          </xdr:cNvSpPr>
        </xdr:nvSpPr>
        <xdr:spPr bwMode="auto">
          <a:xfrm>
            <a:off x="1399222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sr-Latn-R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- </a:t>
            </a:r>
          </a:p>
        </xdr:txBody>
      </xdr:sp>
      <xdr:sp macro="" textlink="">
        <xdr:nvSpPr>
          <xdr:cNvPr id="4064" name="Text Box 3040"/>
          <xdr:cNvSpPr txBox="1">
            <a:spLocks noChangeArrowheads="1"/>
          </xdr:cNvSpPr>
        </xdr:nvSpPr>
        <xdr:spPr bwMode="auto">
          <a:xfrm>
            <a:off x="1399222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sr-Latn-R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xdr:txBody>
      </xdr:sp>
      <xdr:sp macro="" textlink="">
        <xdr:nvSpPr>
          <xdr:cNvPr id="7111" name="AutoShape 3041"/>
          <xdr:cNvSpPr>
            <a:spLocks/>
          </xdr:cNvSpPr>
        </xdr:nvSpPr>
        <xdr:spPr bwMode="auto">
          <a:xfrm>
            <a:off x="431" y="245"/>
            <a:ext cx="10" cy="46"/>
          </a:xfrm>
          <a:prstGeom prst="leftBracket">
            <a:avLst>
              <a:gd name="adj" fmla="val 23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7112" name="AutoShape 3042"/>
          <xdr:cNvSpPr>
            <a:spLocks/>
          </xdr:cNvSpPr>
        </xdr:nvSpPr>
        <xdr:spPr bwMode="auto">
          <a:xfrm flipH="1">
            <a:off x="486" y="248"/>
            <a:ext cx="10" cy="46"/>
          </a:xfrm>
          <a:prstGeom prst="leftBracket">
            <a:avLst>
              <a:gd name="adj" fmla="val 23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4067" name="Text Box 3043"/>
          <xdr:cNvSpPr txBox="1">
            <a:spLocks noChangeArrowheads="1"/>
          </xdr:cNvSpPr>
        </xdr:nvSpPr>
        <xdr:spPr bwMode="auto">
          <a:xfrm>
            <a:off x="1399222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sr-Latn-R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xdr:txBody>
      </xdr:sp>
    </xdr:grp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68" name="Text Box 3044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69" name="Text Box 3045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parna kolona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70" name="Text Box 3046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09" name="AutoShape 3047"/>
        <xdr:cNvSpPr>
          <a:spLocks/>
        </xdr:cNvSpPr>
      </xdr:nvSpPr>
      <xdr:spPr bwMode="auto">
        <a:xfrm flipH="1">
          <a:off x="139922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72" name="Text Box 3048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73" name="Text Box 3049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74" name="Text Box 3050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 k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75" name="Text Box 3051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76" name="Text Box 3052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 k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77" name="Text Box 3053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78" name="Text Box 3054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79" name="Text Box 3055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80" name="Text Box 3056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+2 k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81" name="Text Box 3057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82" name="Text Box 3058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</a:rPr>
            <a:t>mo`e i obrnuto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83" name="Text Box 3059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84" name="Text Box 3060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85" name="Text Box 3061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86" name="Text Box 3062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87" name="Text Box 3063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88" name="Text Box 3064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89" name="Text Box 3065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neparni kolona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90" name="Text Box 3066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91" name="Text Box 3067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92" name="Text Box 3068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93" name="Text Box 3069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 k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32" name="Line 3070"/>
        <xdr:cNvSpPr>
          <a:spLocks noChangeShapeType="1"/>
        </xdr:cNvSpPr>
      </xdr:nvSpPr>
      <xdr:spPr bwMode="auto">
        <a:xfrm>
          <a:off x="13992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95" name="Text Box 3071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34" name="AutoShape 3072"/>
        <xdr:cNvSpPr>
          <a:spLocks/>
        </xdr:cNvSpPr>
      </xdr:nvSpPr>
      <xdr:spPr bwMode="auto">
        <a:xfrm>
          <a:off x="139922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35" name="AutoShape 3073"/>
        <xdr:cNvSpPr>
          <a:spLocks/>
        </xdr:cNvSpPr>
      </xdr:nvSpPr>
      <xdr:spPr bwMode="auto">
        <a:xfrm flipH="1">
          <a:off x="139922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098" name="Text Box 3074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grpSp>
      <xdr:nvGrpSpPr>
        <xdr:cNvPr id="7037" name="Group 3075"/>
        <xdr:cNvGrpSpPr>
          <a:grpSpLocks/>
        </xdr:cNvGrpSpPr>
      </xdr:nvGrpSpPr>
      <xdr:grpSpPr bwMode="auto">
        <a:xfrm>
          <a:off x="14069786" y="0"/>
          <a:ext cx="0" cy="0"/>
          <a:chOff x="491" y="453"/>
          <a:chExt cx="83" cy="54"/>
        </a:xfrm>
      </xdr:grpSpPr>
      <xdr:sp macro="" textlink="">
        <xdr:nvSpPr>
          <xdr:cNvPr id="4100" name="Text Box 3076"/>
          <xdr:cNvSpPr txBox="1">
            <a:spLocks noChangeArrowheads="1"/>
          </xdr:cNvSpPr>
        </xdr:nvSpPr>
        <xdr:spPr bwMode="auto">
          <a:xfrm>
            <a:off x="1399222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sr-Latn-RS" sz="1000" b="0" i="0" u="none" strike="noStrike" baseline="0">
                <a:solidFill>
                  <a:srgbClr val="000000"/>
                </a:solidFill>
                <a:latin typeface="Symbol"/>
              </a:rPr>
              <a:t>d</a:t>
            </a:r>
          </a:p>
        </xdr:txBody>
      </xdr:sp>
      <xdr:sp macro="" textlink="">
        <xdr:nvSpPr>
          <xdr:cNvPr id="4101" name="Text Box 3077"/>
          <xdr:cNvSpPr txBox="1">
            <a:spLocks noChangeArrowheads="1"/>
          </xdr:cNvSpPr>
        </xdr:nvSpPr>
        <xdr:spPr bwMode="auto">
          <a:xfrm>
            <a:off x="1399222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sr-Latn-R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</a:t>
            </a:r>
            <a:r>
              <a:rPr lang="sr-Latn-RS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</a:t>
            </a:r>
          </a:p>
        </xdr:txBody>
      </xdr:sp>
      <xdr:sp macro="" textlink="">
        <xdr:nvSpPr>
          <xdr:cNvPr id="4102" name="Text Box 3078"/>
          <xdr:cNvSpPr txBox="1">
            <a:spLocks noChangeArrowheads="1"/>
          </xdr:cNvSpPr>
        </xdr:nvSpPr>
        <xdr:spPr bwMode="auto">
          <a:xfrm>
            <a:off x="1399222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sr-Latn-R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xdr:txBody>
      </xdr:sp>
      <xdr:sp macro="" textlink="">
        <xdr:nvSpPr>
          <xdr:cNvPr id="7095" name="Line 3079"/>
          <xdr:cNvSpPr>
            <a:spLocks noChangeShapeType="1"/>
          </xdr:cNvSpPr>
        </xdr:nvSpPr>
        <xdr:spPr bwMode="auto">
          <a:xfrm>
            <a:off x="494" y="480"/>
            <a:ext cx="3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04" name="Text Box 3080"/>
          <xdr:cNvSpPr txBox="1">
            <a:spLocks noChangeArrowheads="1"/>
          </xdr:cNvSpPr>
        </xdr:nvSpPr>
        <xdr:spPr bwMode="auto">
          <a:xfrm>
            <a:off x="1399222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sr-Latn-R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- </a:t>
            </a:r>
          </a:p>
        </xdr:txBody>
      </xdr:sp>
      <xdr:sp macro="" textlink="">
        <xdr:nvSpPr>
          <xdr:cNvPr id="7097" name="AutoShape 3081"/>
          <xdr:cNvSpPr>
            <a:spLocks/>
          </xdr:cNvSpPr>
        </xdr:nvSpPr>
        <xdr:spPr bwMode="auto">
          <a:xfrm>
            <a:off x="491" y="457"/>
            <a:ext cx="10" cy="46"/>
          </a:xfrm>
          <a:prstGeom prst="leftBracket">
            <a:avLst>
              <a:gd name="adj" fmla="val 23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7098" name="AutoShape 3082"/>
          <xdr:cNvSpPr>
            <a:spLocks/>
          </xdr:cNvSpPr>
        </xdr:nvSpPr>
        <xdr:spPr bwMode="auto">
          <a:xfrm flipH="1">
            <a:off x="546" y="460"/>
            <a:ext cx="10" cy="46"/>
          </a:xfrm>
          <a:prstGeom prst="leftBracket">
            <a:avLst>
              <a:gd name="adj" fmla="val 23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4107" name="Text Box 3083"/>
          <xdr:cNvSpPr txBox="1">
            <a:spLocks noChangeArrowheads="1"/>
          </xdr:cNvSpPr>
        </xdr:nvSpPr>
        <xdr:spPr bwMode="auto">
          <a:xfrm>
            <a:off x="13992225" y="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sr-Latn-R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</a:p>
        </xdr:txBody>
      </xdr:sp>
    </xdr:grp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38" name="Freeform 3084"/>
        <xdr:cNvSpPr>
          <a:spLocks/>
        </xdr:cNvSpPr>
      </xdr:nvSpPr>
      <xdr:spPr bwMode="auto">
        <a:xfrm>
          <a:off x="13992225" y="0"/>
          <a:ext cx="0" cy="0"/>
        </a:xfrm>
        <a:custGeom>
          <a:avLst/>
          <a:gdLst>
            <a:gd name="T0" fmla="*/ 0 w 220"/>
            <a:gd name="T1" fmla="*/ 0 h 49"/>
            <a:gd name="T2" fmla="*/ 0 w 220"/>
            <a:gd name="T3" fmla="*/ 0 h 49"/>
            <a:gd name="T4" fmla="*/ 0 w 220"/>
            <a:gd name="T5" fmla="*/ 0 h 49"/>
            <a:gd name="T6" fmla="*/ 0 w 220"/>
            <a:gd name="T7" fmla="*/ 0 h 4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20" h="49">
              <a:moveTo>
                <a:pt x="0" y="17"/>
              </a:moveTo>
              <a:lnTo>
                <a:pt x="4" y="49"/>
              </a:lnTo>
              <a:lnTo>
                <a:pt x="11" y="0"/>
              </a:lnTo>
              <a:lnTo>
                <a:pt x="220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09" name="Text Box 3085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10" name="Text Box 3086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 k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11" name="Text Box 3087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12" name="Text Box 3088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43" name="AutoShape 3089"/>
        <xdr:cNvSpPr>
          <a:spLocks/>
        </xdr:cNvSpPr>
      </xdr:nvSpPr>
      <xdr:spPr bwMode="auto">
        <a:xfrm>
          <a:off x="139922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14" name="Text Box 3090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15" name="Text Box 3091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parna kolona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16" name="Text Box 3092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17" name="Text Box 3093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=D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</a:t>
          </a: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-2s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48" name="AutoShape 3094"/>
        <xdr:cNvSpPr>
          <a:spLocks/>
        </xdr:cNvSpPr>
      </xdr:nvSpPr>
      <xdr:spPr bwMode="auto">
        <a:xfrm>
          <a:off x="139922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19" name="Text Box 3095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- 1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50" name="AutoShape 3096"/>
        <xdr:cNvSpPr>
          <a:spLocks/>
        </xdr:cNvSpPr>
      </xdr:nvSpPr>
      <xdr:spPr bwMode="auto">
        <a:xfrm flipH="1">
          <a:off x="139922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51" name="AutoShape 3097"/>
        <xdr:cNvSpPr>
          <a:spLocks/>
        </xdr:cNvSpPr>
      </xdr:nvSpPr>
      <xdr:spPr bwMode="auto">
        <a:xfrm>
          <a:off x="139922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22" name="Text Box 3098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- 1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53" name="AutoShape 3099"/>
        <xdr:cNvSpPr>
          <a:spLocks/>
        </xdr:cNvSpPr>
      </xdr:nvSpPr>
      <xdr:spPr bwMode="auto">
        <a:xfrm flipH="1">
          <a:off x="139922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54" name="AutoShape 3100"/>
        <xdr:cNvSpPr>
          <a:spLocks/>
        </xdr:cNvSpPr>
      </xdr:nvSpPr>
      <xdr:spPr bwMode="auto">
        <a:xfrm>
          <a:off x="139922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25" name="Text Box 3101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- 1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56" name="AutoShape 3102"/>
        <xdr:cNvSpPr>
          <a:spLocks/>
        </xdr:cNvSpPr>
      </xdr:nvSpPr>
      <xdr:spPr bwMode="auto">
        <a:xfrm flipH="1">
          <a:off x="139922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57" name="AutoShape 3103"/>
        <xdr:cNvSpPr>
          <a:spLocks/>
        </xdr:cNvSpPr>
      </xdr:nvSpPr>
      <xdr:spPr bwMode="auto">
        <a:xfrm>
          <a:off x="139922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58" name="AutoShape 3104"/>
        <xdr:cNvSpPr>
          <a:spLocks/>
        </xdr:cNvSpPr>
      </xdr:nvSpPr>
      <xdr:spPr bwMode="auto">
        <a:xfrm flipH="1">
          <a:off x="139922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29" name="Text Box 3105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-1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30" name="Text Box 3106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+ 1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31" name="Text Box 3107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62" name="AutoShape 3108"/>
        <xdr:cNvSpPr>
          <a:spLocks/>
        </xdr:cNvSpPr>
      </xdr:nvSpPr>
      <xdr:spPr bwMode="auto">
        <a:xfrm flipH="1">
          <a:off x="139922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33" name="Text Box 3109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34" name="Text Box 3110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35" name="Text Box 3111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66" name="Line 3112"/>
        <xdr:cNvSpPr>
          <a:spLocks noChangeShapeType="1"/>
        </xdr:cNvSpPr>
      </xdr:nvSpPr>
      <xdr:spPr bwMode="auto">
        <a:xfrm>
          <a:off x="13992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7067" name="AutoShape 3113"/>
        <xdr:cNvSpPr>
          <a:spLocks/>
        </xdr:cNvSpPr>
      </xdr:nvSpPr>
      <xdr:spPr bwMode="auto">
        <a:xfrm>
          <a:off x="13992225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38" name="Text Box 3114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39" name="Text Box 3115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+ 1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40" name="Text Box 3116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neparna kolona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41" name="Text Box 3117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k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42" name="Text Box 3118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43" name="Text Box 3119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44" name="Text Box 3120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45" name="Text Box 3121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</a:t>
          </a:r>
        </a:p>
      </xdr:txBody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4146" name="Text Box 3122"/>
        <xdr:cNvSpPr txBox="1">
          <a:spLocks noChangeArrowheads="1"/>
        </xdr:cNvSpPr>
      </xdr:nvSpPr>
      <xdr:spPr bwMode="auto">
        <a:xfrm>
          <a:off x="139922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duzina reda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84</xdr:row>
          <xdr:rowOff>0</xdr:rowOff>
        </xdr:from>
        <xdr:to>
          <xdr:col>29</xdr:col>
          <xdr:colOff>0</xdr:colOff>
          <xdr:row>85</xdr:row>
          <xdr:rowOff>0</xdr:rowOff>
        </xdr:to>
        <xdr:sp macro="" textlink="">
          <xdr:nvSpPr>
            <xdr:cNvPr id="4149" name="Object 3125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0</xdr:colOff>
      <xdr:row>111</xdr:row>
      <xdr:rowOff>0</xdr:rowOff>
    </xdr:from>
    <xdr:to>
      <xdr:col>29</xdr:col>
      <xdr:colOff>0</xdr:colOff>
      <xdr:row>111</xdr:row>
      <xdr:rowOff>0</xdr:rowOff>
    </xdr:to>
    <xdr:sp macro="" textlink="">
      <xdr:nvSpPr>
        <xdr:cNvPr id="4150" name="Text Box 3126"/>
        <xdr:cNvSpPr txBox="1">
          <a:spLocks noChangeArrowheads="1"/>
        </xdr:cNvSpPr>
      </xdr:nvSpPr>
      <xdr:spPr bwMode="auto">
        <a:xfrm>
          <a:off x="13992225" y="204025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sr-Latn-RS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Geometrijske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veličine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mrežnog rasporeda </a:t>
          </a:r>
        </a:p>
        <a:p>
          <a:pPr algn="l" rtl="0">
            <a:defRPr sz="1000"/>
          </a:pPr>
          <a:endParaRPr lang="sr-Latn-RS" sz="10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Oznake: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</a:t>
          </a:r>
          <a:r>
            <a:rPr lang="sr-Latn-R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spoljašnji i unutrašnji pre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č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nik omota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č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s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debljina omota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č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a,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cotl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ckr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otl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– prečnik centar kruga bilo kog otvora, maksimalni 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             prečnik kruga otvora, prečnik kruga kolone k i reda r, prečnik outer tube limit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H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– prečnik segmentne pregrade i visina okna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tm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- debljina cevne ploče max, srednji poluprečnik savijanja U cevi</a:t>
          </a:r>
        </a:p>
        <a:p>
          <a:pPr algn="l" rtl="0">
            <a:defRPr sz="1000"/>
          </a:pP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ds, du 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spoljnji i unutrašnji pre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č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nik cevi,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s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debljina zida cevi</a:t>
          </a:r>
        </a:p>
        <a:p>
          <a:pPr algn="l" rtl="0">
            <a:defRPr sz="1000"/>
          </a:pP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kh , kv ; kho , kvo ; kh</a:t>
          </a:r>
          <a:r>
            <a:rPr lang="sr-Latn-R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</a:t>
          </a:r>
          <a:r>
            <a:rPr lang="sr-Latn-R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kv</a:t>
          </a:r>
          <a:r>
            <a:rPr lang="sr-Latn-R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horizontalni i vertikalni koraci: teku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ć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i, nulti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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</a:t>
          </a:r>
          <a:r>
            <a:rPr lang="sr-Latn-R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</a:t>
          </a:r>
          <a:r>
            <a:rPr lang="sr-Latn-RS" sz="12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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</a:t>
          </a:r>
          <a:r>
            <a:rPr lang="sr-Latn-R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</a:t>
          </a:r>
          <a:r>
            <a:rPr lang="sr-Latn-RS" sz="12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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sr-Latn-R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</a:t>
          </a:r>
          <a:r>
            <a:rPr lang="sr-Latn-RS" sz="12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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</a:t>
          </a:r>
          <a:r>
            <a:rPr lang="sr-Latn-R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</a:t>
          </a:r>
          <a:r>
            <a:rPr lang="sr-Latn-RS" sz="12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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cev-unutrašnji zid omotača, h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orizontalno, vertikalno i 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koso rastojanje izme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đ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 cevi,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2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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minimalno rastojanje izme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đ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 cevi i pregrade</a:t>
          </a:r>
        </a:p>
        <a:p>
          <a:pPr algn="l" rtl="0">
            <a:defRPr sz="1000"/>
          </a:pPr>
          <a:r>
            <a:rPr lang="sr-Latn-RS" sz="1200" b="0" i="1" u="none" strike="noStrike" baseline="0">
              <a:solidFill>
                <a:srgbClr val="000000"/>
              </a:solidFill>
              <a:latin typeface="Symbol"/>
            </a:rPr>
            <a:t>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minimalno rastojanje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oboda pregrade i unutrašnje površine omotača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s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kp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rp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– rastojanje neosne podužne pregrade od ose, debljina  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pregrade, broj kolone ili reda neosne pregrade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ho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vo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– horizontalni, vertikalni i kosi korak, početni (nulti) koraci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t, </a:t>
          </a:r>
          <a:r>
            <a:rPr lang="sr-Latn-RS" sz="10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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</a:t>
          </a:r>
          <a:r>
            <a:rPr lang="sr-Latn-RS" sz="10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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– tube pitch, rastojanje između cevi na tube pitch, </a:t>
          </a:r>
          <a:r>
            <a:rPr lang="sr-Latn-RS" sz="1000" b="0" i="1" u="none" strike="noStrike" baseline="0">
              <a:solidFill>
                <a:srgbClr val="000000"/>
              </a:solidFill>
              <a:latin typeface="Symbol"/>
              <a:cs typeface="Times New Roman CE"/>
            </a:rPr>
            <a:t>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=t/d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– faktor mreže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B, B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pru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B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pri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– osni razmak između poprečnih pregrada, na mestu ulaza i izlaza </a:t>
          </a:r>
        </a:p>
        <a:p>
          <a:pPr algn="l" rtl="0">
            <a:defRPr sz="1000"/>
          </a:pP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pg,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zg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– prednji i zadnji razmak poprečne pregrade i unutrašnje površine glave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bC</a:t>
          </a:r>
          <a:r>
            <a:rPr lang="sr-Latn-RS" sz="11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je rastojanje zadnje poprečne pregrade od luka savijanja U cevi</a:t>
          </a:r>
          <a:endParaRPr lang="sr-Latn-RS" sz="5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Latn-R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bB</a:t>
          </a:r>
          <a:r>
            <a:rPr lang="sr-Latn-R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je preostalo r</a:t>
          </a:r>
          <a:r>
            <a:rPr lang="sr-Latn-RS" sz="11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astojanje podužne pregrade od zadnje poprečne pregrade</a:t>
          </a:r>
        </a:p>
        <a:p>
          <a:pPr algn="l" rtl="0">
            <a:defRPr sz="1000"/>
          </a:pPr>
          <a:r>
            <a:rPr lang="sr-Latn-R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bk</a:t>
          </a:r>
          <a:r>
            <a:rPr lang="sr-Latn-RS" sz="11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je konzolno rastojanje od zadnje poprečne pregrade do kraja bunta</a:t>
          </a:r>
        </a:p>
        <a:p>
          <a:pPr algn="l" rtl="0">
            <a:defRPr sz="1000"/>
          </a:pPr>
          <a:r>
            <a:rPr lang="sr-Latn-R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1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bpg</a:t>
          </a:r>
          <a:r>
            <a:rPr lang="sr-Latn-RS" sz="11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je rastojanje od zadnje poprečne pregrade do plivajuće glave</a:t>
          </a:r>
          <a:endParaRPr lang="sr-Latn-RS" sz="5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L, L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L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tb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– dužine u razmenjivaču,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efektivna prava dužina cevi,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dužina cevi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za ubacivanje u bunt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=L+2e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za prave cevi,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Ltm = 2L+</a:t>
          </a:r>
          <a:r>
            <a:rPr lang="sr-Latn-RS" sz="10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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rtm+e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max. dužina U cevi,     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tb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dužina U bunta,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tb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=L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za prave cevi,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tb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=L+r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tm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+e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za U cevi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Aj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0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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jedini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č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na površina cevnog rasporeda, mrežni ugao struje 30,45,60,90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=2k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2k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/2 – P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 P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</a:t>
          </a:r>
          <a:r>
            <a:rPr lang="sr-Latn-RS" sz="10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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/4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površina otvora cevi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z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z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z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– broj prolaza u cevi, broj prolaza oko cevi i broj poprečnih prolaza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n, 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II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III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 broj otv.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u cev. ploči, broj U cevi, broj otvora po komorama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kr,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C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kr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– otvor k-te kolone i t-tog reda, tačka centra kruga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ri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– broj cevi u koloni ili redu, npr. n</a:t>
          </a:r>
          <a:r>
            <a:rPr lang="sr-Latn-R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k3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=5, 5 otvora u trećoj koloni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– ukupan broj pop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rečnih segmentnih pergrada (sigl ili dubl) po preseku bunta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N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ri,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, K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ri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– broj kolone ili reda, npr. N</a:t>
          </a:r>
          <a:r>
            <a:rPr lang="sr-Latn-R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k4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– četvrta kolona, rastojanje 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k-te kolone i r-tog reda od ose (koordinata kolone ili reda) 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ekvivalentni pre</a:t>
          </a: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čnik doboša (bitan za strujne i termičke proračune) je </a:t>
          </a:r>
        </a:p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              odnos četvorostrukog preseka strujanja i okvašenog obima, 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</a:t>
          </a:r>
          <a:r>
            <a:rPr lang="sr-Latn-RS" sz="8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=4S/O</a:t>
          </a:r>
          <a:endParaRPr lang="sr-Latn-R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r-Latn-R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37</xdr:row>
          <xdr:rowOff>0</xdr:rowOff>
        </xdr:from>
        <xdr:to>
          <xdr:col>29</xdr:col>
          <xdr:colOff>0</xdr:colOff>
          <xdr:row>38</xdr:row>
          <xdr:rowOff>123825</xdr:rowOff>
        </xdr:to>
        <xdr:sp macro="" textlink="">
          <xdr:nvSpPr>
            <xdr:cNvPr id="4153" name="Object 3129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0</xdr:colOff>
      <xdr:row>117</xdr:row>
      <xdr:rowOff>85725</xdr:rowOff>
    </xdr:from>
    <xdr:to>
      <xdr:col>29</xdr:col>
      <xdr:colOff>0</xdr:colOff>
      <xdr:row>118</xdr:row>
      <xdr:rowOff>95250</xdr:rowOff>
    </xdr:to>
    <xdr:sp macro="" textlink="">
      <xdr:nvSpPr>
        <xdr:cNvPr id="4161" name="Text Box 3137"/>
        <xdr:cNvSpPr txBox="1">
          <a:spLocks noChangeArrowheads="1"/>
        </xdr:cNvSpPr>
      </xdr:nvSpPr>
      <xdr:spPr bwMode="auto">
        <a:xfrm>
          <a:off x="13992225" y="2157412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2 - P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(1 + R) + P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30</xdr:col>
      <xdr:colOff>0</xdr:colOff>
      <xdr:row>22</xdr:row>
      <xdr:rowOff>0</xdr:rowOff>
    </xdr:from>
    <xdr:to>
      <xdr:col>30</xdr:col>
      <xdr:colOff>0</xdr:colOff>
      <xdr:row>22</xdr:row>
      <xdr:rowOff>0</xdr:rowOff>
    </xdr:to>
    <xdr:sp macro="" textlink="">
      <xdr:nvSpPr>
        <xdr:cNvPr id="4297" name="Text Box 3273"/>
        <xdr:cNvSpPr txBox="1">
          <a:spLocks noChangeArrowheads="1"/>
        </xdr:cNvSpPr>
      </xdr:nvSpPr>
      <xdr:spPr bwMode="auto">
        <a:xfrm>
          <a:off x="14668500" y="4038600"/>
          <a:ext cx="429577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sr-Latn-RS" sz="1000" b="1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 TAB. 2.2.2.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Odnosi mrežnih koraka za karakteristične napadne uglove strujanja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21</xdr:row>
          <xdr:rowOff>0</xdr:rowOff>
        </xdr:from>
        <xdr:to>
          <xdr:col>30</xdr:col>
          <xdr:colOff>0</xdr:colOff>
          <xdr:row>21</xdr:row>
          <xdr:rowOff>0</xdr:rowOff>
        </xdr:to>
        <xdr:sp macro="" textlink="">
          <xdr:nvSpPr>
            <xdr:cNvPr id="4298" name="Object 3274" hidden="1">
              <a:extLst>
                <a:ext uri="{63B3BB69-23CF-44E3-9099-C40C66FF867C}">
                  <a14:compatExt spid="_x0000_s4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22</xdr:row>
          <xdr:rowOff>0</xdr:rowOff>
        </xdr:from>
        <xdr:to>
          <xdr:col>30</xdr:col>
          <xdr:colOff>0</xdr:colOff>
          <xdr:row>22</xdr:row>
          <xdr:rowOff>0</xdr:rowOff>
        </xdr:to>
        <xdr:sp macro="" textlink="">
          <xdr:nvSpPr>
            <xdr:cNvPr id="4299" name="Object 3275" hidden="1">
              <a:extLst>
                <a:ext uri="{63B3BB69-23CF-44E3-9099-C40C66FF867C}">
                  <a14:compatExt spid="_x0000_s4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21</xdr:row>
          <xdr:rowOff>0</xdr:rowOff>
        </xdr:from>
        <xdr:to>
          <xdr:col>30</xdr:col>
          <xdr:colOff>0</xdr:colOff>
          <xdr:row>21</xdr:row>
          <xdr:rowOff>0</xdr:rowOff>
        </xdr:to>
        <xdr:sp macro="" textlink="">
          <xdr:nvSpPr>
            <xdr:cNvPr id="4300" name="Object 3276" hidden="1">
              <a:extLst>
                <a:ext uri="{63B3BB69-23CF-44E3-9099-C40C66FF867C}">
                  <a14:compatExt spid="_x0000_s4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21</xdr:row>
          <xdr:rowOff>0</xdr:rowOff>
        </xdr:from>
        <xdr:to>
          <xdr:col>30</xdr:col>
          <xdr:colOff>0</xdr:colOff>
          <xdr:row>21</xdr:row>
          <xdr:rowOff>0</xdr:rowOff>
        </xdr:to>
        <xdr:sp macro="" textlink="">
          <xdr:nvSpPr>
            <xdr:cNvPr id="4301" name="Object 3277" hidden="1">
              <a:extLst>
                <a:ext uri="{63B3BB69-23CF-44E3-9099-C40C66FF867C}">
                  <a14:compatExt spid="_x0000_s4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26</xdr:row>
          <xdr:rowOff>0</xdr:rowOff>
        </xdr:from>
        <xdr:to>
          <xdr:col>30</xdr:col>
          <xdr:colOff>0</xdr:colOff>
          <xdr:row>26</xdr:row>
          <xdr:rowOff>0</xdr:rowOff>
        </xdr:to>
        <xdr:sp macro="" textlink="">
          <xdr:nvSpPr>
            <xdr:cNvPr id="4302" name="Object 3278" hidden="1">
              <a:extLst>
                <a:ext uri="{63B3BB69-23CF-44E3-9099-C40C66FF867C}">
                  <a14:compatExt spid="_x0000_s4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22</xdr:row>
          <xdr:rowOff>0</xdr:rowOff>
        </xdr:from>
        <xdr:to>
          <xdr:col>30</xdr:col>
          <xdr:colOff>0</xdr:colOff>
          <xdr:row>22</xdr:row>
          <xdr:rowOff>0</xdr:rowOff>
        </xdr:to>
        <xdr:sp macro="" textlink="">
          <xdr:nvSpPr>
            <xdr:cNvPr id="4303" name="Object 3279" hidden="1">
              <a:extLst>
                <a:ext uri="{63B3BB69-23CF-44E3-9099-C40C66FF867C}">
                  <a14:compatExt spid="_x0000_s4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21</xdr:row>
          <xdr:rowOff>0</xdr:rowOff>
        </xdr:from>
        <xdr:to>
          <xdr:col>30</xdr:col>
          <xdr:colOff>0</xdr:colOff>
          <xdr:row>21</xdr:row>
          <xdr:rowOff>0</xdr:rowOff>
        </xdr:to>
        <xdr:sp macro="" textlink="">
          <xdr:nvSpPr>
            <xdr:cNvPr id="4304" name="Object 3280" hidden="1">
              <a:extLst>
                <a:ext uri="{63B3BB69-23CF-44E3-9099-C40C66FF867C}">
                  <a14:compatExt spid="_x0000_s4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26</xdr:row>
          <xdr:rowOff>0</xdr:rowOff>
        </xdr:from>
        <xdr:to>
          <xdr:col>30</xdr:col>
          <xdr:colOff>0</xdr:colOff>
          <xdr:row>26</xdr:row>
          <xdr:rowOff>0</xdr:rowOff>
        </xdr:to>
        <xdr:sp macro="" textlink="">
          <xdr:nvSpPr>
            <xdr:cNvPr id="4305" name="Object 3281" hidden="1">
              <a:extLst>
                <a:ext uri="{63B3BB69-23CF-44E3-9099-C40C66FF867C}">
                  <a14:compatExt spid="_x0000_s4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21</xdr:row>
          <xdr:rowOff>0</xdr:rowOff>
        </xdr:from>
        <xdr:to>
          <xdr:col>30</xdr:col>
          <xdr:colOff>0</xdr:colOff>
          <xdr:row>21</xdr:row>
          <xdr:rowOff>0</xdr:rowOff>
        </xdr:to>
        <xdr:sp macro="" textlink="">
          <xdr:nvSpPr>
            <xdr:cNvPr id="4306" name="Object 3282" hidden="1">
              <a:extLst>
                <a:ext uri="{63B3BB69-23CF-44E3-9099-C40C66FF867C}">
                  <a14:compatExt spid="_x0000_s4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26</xdr:row>
          <xdr:rowOff>0</xdr:rowOff>
        </xdr:from>
        <xdr:to>
          <xdr:col>30</xdr:col>
          <xdr:colOff>0</xdr:colOff>
          <xdr:row>26</xdr:row>
          <xdr:rowOff>0</xdr:rowOff>
        </xdr:to>
        <xdr:sp macro="" textlink="">
          <xdr:nvSpPr>
            <xdr:cNvPr id="4307" name="Object 3283" hidden="1">
              <a:extLst>
                <a:ext uri="{63B3BB69-23CF-44E3-9099-C40C66FF867C}">
                  <a14:compatExt spid="_x0000_s4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22</xdr:row>
          <xdr:rowOff>0</xdr:rowOff>
        </xdr:from>
        <xdr:to>
          <xdr:col>30</xdr:col>
          <xdr:colOff>0</xdr:colOff>
          <xdr:row>22</xdr:row>
          <xdr:rowOff>0</xdr:rowOff>
        </xdr:to>
        <xdr:sp macro="" textlink="">
          <xdr:nvSpPr>
            <xdr:cNvPr id="4308" name="Object 3284" hidden="1">
              <a:extLst>
                <a:ext uri="{63B3BB69-23CF-44E3-9099-C40C66FF867C}">
                  <a14:compatExt spid="_x0000_s4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0</xdr:colOff>
      <xdr:row>21</xdr:row>
      <xdr:rowOff>0</xdr:rowOff>
    </xdr:from>
    <xdr:to>
      <xdr:col>30</xdr:col>
      <xdr:colOff>0</xdr:colOff>
      <xdr:row>21</xdr:row>
      <xdr:rowOff>0</xdr:rowOff>
    </xdr:to>
    <xdr:sp macro="" textlink="">
      <xdr:nvSpPr>
        <xdr:cNvPr id="4309" name="Text Box 3285"/>
        <xdr:cNvSpPr txBox="1">
          <a:spLocks noChangeArrowheads="1"/>
        </xdr:cNvSpPr>
      </xdr:nvSpPr>
      <xdr:spPr bwMode="auto">
        <a:xfrm>
          <a:off x="14592300" y="3848100"/>
          <a:ext cx="422910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 TAB. 2.2.1.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Mere mrežnog rasporeda prema Heat Atlas [</a:t>
          </a:r>
          <a:r>
            <a:rPr lang="sr-Latn-RS" sz="1000" b="0" i="1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] i DIN 28182, adaptirano</a:t>
          </a:r>
          <a:endParaRPr lang="sr-Latn-RS" sz="5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r-Latn-RS" sz="5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30</xdr:col>
      <xdr:colOff>0</xdr:colOff>
      <xdr:row>21</xdr:row>
      <xdr:rowOff>0</xdr:rowOff>
    </xdr:from>
    <xdr:to>
      <xdr:col>30</xdr:col>
      <xdr:colOff>0</xdr:colOff>
      <xdr:row>21</xdr:row>
      <xdr:rowOff>0</xdr:rowOff>
    </xdr:to>
    <xdr:sp macro="" textlink="">
      <xdr:nvSpPr>
        <xdr:cNvPr id="4310" name="Text Box 3286"/>
        <xdr:cNvSpPr txBox="1">
          <a:spLocks noChangeArrowheads="1"/>
        </xdr:cNvSpPr>
      </xdr:nvSpPr>
      <xdr:spPr bwMode="auto">
        <a:xfrm>
          <a:off x="14506575" y="3848100"/>
          <a:ext cx="29813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sr-Latn-RS" sz="1000" b="1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 TAB. 2.xx.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Mere plivajuće glave zavarene konstrukcije, prema DIN 28190 (Sl. 4.23) za cevi </a:t>
          </a:r>
          <a:r>
            <a:rPr lang="sr-Latn-RS" sz="10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f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25 i rotirani kvadratni mrežni raspored koraka 32 mm.</a:t>
          </a:r>
        </a:p>
      </xdr:txBody>
    </xdr:sp>
    <xdr:clientData/>
  </xdr:twoCellAnchor>
  <xdr:twoCellAnchor>
    <xdr:from>
      <xdr:col>30</xdr:col>
      <xdr:colOff>0</xdr:colOff>
      <xdr:row>22</xdr:row>
      <xdr:rowOff>0</xdr:rowOff>
    </xdr:from>
    <xdr:to>
      <xdr:col>30</xdr:col>
      <xdr:colOff>0</xdr:colOff>
      <xdr:row>22</xdr:row>
      <xdr:rowOff>0</xdr:rowOff>
    </xdr:to>
    <xdr:sp macro="" textlink="">
      <xdr:nvSpPr>
        <xdr:cNvPr id="4311" name="Text Box 3287"/>
        <xdr:cNvSpPr txBox="1">
          <a:spLocks noChangeArrowheads="1"/>
        </xdr:cNvSpPr>
      </xdr:nvSpPr>
      <xdr:spPr bwMode="auto">
        <a:xfrm>
          <a:off x="17668875" y="4038600"/>
          <a:ext cx="21050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sr-Latn-RS" sz="1000" b="1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 TAB. 4.6.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Mere plivajuće glave prirubničke konstrukcije, prema DIN 28191 (Sl. 4.24) za cevi </a:t>
          </a:r>
          <a:r>
            <a:rPr lang="sr-Latn-RS" sz="1000" b="0" i="1" u="none" strike="noStrike" baseline="0">
              <a:solidFill>
                <a:srgbClr val="000000"/>
              </a:solidFill>
              <a:latin typeface="Symbol"/>
              <a:cs typeface="Times New Roman"/>
            </a:rPr>
            <a:t>f</a:t>
          </a:r>
          <a:r>
            <a:rPr lang="sr-Latn-RS" sz="1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25 i rotirani kvadratni mrežni raspored koraka 32 mm.</a:t>
          </a:r>
        </a:p>
      </xdr:txBody>
    </xdr:sp>
    <xdr:clientData/>
  </xdr:twoCellAnchor>
  <xdr:twoCellAnchor>
    <xdr:from>
      <xdr:col>30</xdr:col>
      <xdr:colOff>0</xdr:colOff>
      <xdr:row>96</xdr:row>
      <xdr:rowOff>85725</xdr:rowOff>
    </xdr:from>
    <xdr:to>
      <xdr:col>30</xdr:col>
      <xdr:colOff>0</xdr:colOff>
      <xdr:row>97</xdr:row>
      <xdr:rowOff>95250</xdr:rowOff>
    </xdr:to>
    <xdr:sp macro="" textlink="">
      <xdr:nvSpPr>
        <xdr:cNvPr id="4333" name="Text Box 3309"/>
        <xdr:cNvSpPr txBox="1">
          <a:spLocks noChangeArrowheads="1"/>
        </xdr:cNvSpPr>
      </xdr:nvSpPr>
      <xdr:spPr bwMode="auto">
        <a:xfrm>
          <a:off x="28603575" y="17773650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2 - P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  <a:r>
            <a:rPr lang="sr-Latn-R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(1 + R) + P</a:t>
          </a:r>
          <a:r>
            <a:rPr lang="sr-Latn-R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twoCellAnchor>
    <xdr:from>
      <xdr:col>30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7084" name="Rectangle 3482"/>
        <xdr:cNvSpPr>
          <a:spLocks noChangeArrowheads="1"/>
        </xdr:cNvSpPr>
      </xdr:nvSpPr>
      <xdr:spPr bwMode="auto">
        <a:xfrm>
          <a:off x="142303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30</xdr:col>
      <xdr:colOff>0</xdr:colOff>
      <xdr:row>1</xdr:row>
      <xdr:rowOff>0</xdr:rowOff>
    </xdr:from>
    <xdr:to>
      <xdr:col>30</xdr:col>
      <xdr:colOff>0</xdr:colOff>
      <xdr:row>1</xdr:row>
      <xdr:rowOff>0</xdr:rowOff>
    </xdr:to>
    <xdr:sp macro="" textlink="">
      <xdr:nvSpPr>
        <xdr:cNvPr id="7085" name="Line 3483"/>
        <xdr:cNvSpPr>
          <a:spLocks noChangeShapeType="1"/>
        </xdr:cNvSpPr>
      </xdr:nvSpPr>
      <xdr:spPr bwMode="auto">
        <a:xfrm>
          <a:off x="14230350" y="95250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5</xdr:row>
      <xdr:rowOff>0</xdr:rowOff>
    </xdr:from>
    <xdr:to>
      <xdr:col>30</xdr:col>
      <xdr:colOff>0</xdr:colOff>
      <xdr:row>5</xdr:row>
      <xdr:rowOff>0</xdr:rowOff>
    </xdr:to>
    <xdr:sp macro="" textlink="">
      <xdr:nvSpPr>
        <xdr:cNvPr id="7086" name="Line 3484"/>
        <xdr:cNvSpPr>
          <a:spLocks noChangeShapeType="1"/>
        </xdr:cNvSpPr>
      </xdr:nvSpPr>
      <xdr:spPr bwMode="auto">
        <a:xfrm>
          <a:off x="14230350" y="790575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0</xdr:row>
          <xdr:rowOff>66675</xdr:rowOff>
        </xdr:from>
        <xdr:to>
          <xdr:col>32</xdr:col>
          <xdr:colOff>0</xdr:colOff>
          <xdr:row>36</xdr:row>
          <xdr:rowOff>133350</xdr:rowOff>
        </xdr:to>
        <xdr:sp macro="" textlink="">
          <xdr:nvSpPr>
            <xdr:cNvPr id="4703" name="Object 3679" hidden="1">
              <a:extLst>
                <a:ext uri="{63B3BB69-23CF-44E3-9099-C40C66FF867C}">
                  <a14:compatExt spid="_x0000_s4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3</xdr:row>
          <xdr:rowOff>28575</xdr:rowOff>
        </xdr:from>
        <xdr:to>
          <xdr:col>32</xdr:col>
          <xdr:colOff>0</xdr:colOff>
          <xdr:row>39</xdr:row>
          <xdr:rowOff>28575</xdr:rowOff>
        </xdr:to>
        <xdr:sp macro="" textlink="">
          <xdr:nvSpPr>
            <xdr:cNvPr id="4704" name="Object 3680" hidden="1">
              <a:extLst>
                <a:ext uri="{63B3BB69-23CF-44E3-9099-C40C66FF867C}">
                  <a14:compatExt spid="_x0000_s4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0</xdr:colOff>
      <xdr:row>3</xdr:row>
      <xdr:rowOff>0</xdr:rowOff>
    </xdr:from>
    <xdr:to>
      <xdr:col>30</xdr:col>
      <xdr:colOff>0</xdr:colOff>
      <xdr:row>3</xdr:row>
      <xdr:rowOff>0</xdr:rowOff>
    </xdr:to>
    <xdr:sp macro="" textlink="">
      <xdr:nvSpPr>
        <xdr:cNvPr id="7087" name="Line 16"/>
        <xdr:cNvSpPr>
          <a:spLocks noChangeShapeType="1"/>
        </xdr:cNvSpPr>
      </xdr:nvSpPr>
      <xdr:spPr bwMode="auto">
        <a:xfrm>
          <a:off x="14230350" y="447675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0</xdr:row>
      <xdr:rowOff>0</xdr:rowOff>
    </xdr:from>
    <xdr:to>
      <xdr:col>30</xdr:col>
      <xdr:colOff>0</xdr:colOff>
      <xdr:row>3</xdr:row>
      <xdr:rowOff>104775</xdr:rowOff>
    </xdr:to>
    <xdr:sp macro="" textlink="">
      <xdr:nvSpPr>
        <xdr:cNvPr id="4715" name="Text Box 293"/>
        <xdr:cNvSpPr txBox="1">
          <a:spLocks noChangeArrowheads="1"/>
        </xdr:cNvSpPr>
      </xdr:nvSpPr>
      <xdr:spPr bwMode="auto">
        <a:xfrm>
          <a:off x="21326475" y="0"/>
          <a:ext cx="6143625" cy="552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sr-Latn-R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PRORAČUN ČVRSTOĆE prema AD 2000</a:t>
          </a:r>
        </a:p>
        <a:p>
          <a:pPr algn="ctr" rtl="0">
            <a:defRPr sz="1000"/>
          </a:pPr>
          <a:r>
            <a:rPr lang="sr-Latn-R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delova razmenjivača toplote pod pritiskom</a:t>
          </a:r>
        </a:p>
      </xdr:txBody>
    </xdr:sp>
    <xdr:clientData/>
  </xdr:twoCellAnchor>
  <xdr:twoCellAnchor>
    <xdr:from>
      <xdr:col>30</xdr:col>
      <xdr:colOff>0</xdr:colOff>
      <xdr:row>134</xdr:row>
      <xdr:rowOff>28575</xdr:rowOff>
    </xdr:from>
    <xdr:to>
      <xdr:col>30</xdr:col>
      <xdr:colOff>0</xdr:colOff>
      <xdr:row>136</xdr:row>
      <xdr:rowOff>19050</xdr:rowOff>
    </xdr:to>
    <xdr:sp macro="" textlink="">
      <xdr:nvSpPr>
        <xdr:cNvPr id="4716" name="Text Box 293"/>
        <xdr:cNvSpPr txBox="1">
          <a:spLocks noChangeArrowheads="1"/>
        </xdr:cNvSpPr>
      </xdr:nvSpPr>
      <xdr:spPr bwMode="auto">
        <a:xfrm>
          <a:off x="21345525" y="24612600"/>
          <a:ext cx="61436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sr-Latn-R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UPOREDNI PREGLED REZULTATA PRORAČUNA </a:t>
          </a:r>
        </a:p>
      </xdr:txBody>
    </xdr:sp>
    <xdr:clientData/>
  </xdr:twoCellAnchor>
  <xdr:twoCellAnchor>
    <xdr:from>
      <xdr:col>30</xdr:col>
      <xdr:colOff>0</xdr:colOff>
      <xdr:row>136</xdr:row>
      <xdr:rowOff>9525</xdr:rowOff>
    </xdr:from>
    <xdr:to>
      <xdr:col>30</xdr:col>
      <xdr:colOff>0</xdr:colOff>
      <xdr:row>137</xdr:row>
      <xdr:rowOff>152400</xdr:rowOff>
    </xdr:to>
    <xdr:sp macro="" textlink="">
      <xdr:nvSpPr>
        <xdr:cNvPr id="4717" name="Text Box 293"/>
        <xdr:cNvSpPr txBox="1">
          <a:spLocks noChangeArrowheads="1"/>
        </xdr:cNvSpPr>
      </xdr:nvSpPr>
      <xdr:spPr bwMode="auto">
        <a:xfrm>
          <a:off x="21383625" y="24955500"/>
          <a:ext cx="22288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sr-Latn-R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Prema EN 13445-3:2021 </a:t>
          </a:r>
        </a:p>
      </xdr:txBody>
    </xdr:sp>
    <xdr:clientData/>
  </xdr:twoCellAnchor>
  <xdr:twoCellAnchor>
    <xdr:from>
      <xdr:col>30</xdr:col>
      <xdr:colOff>0</xdr:colOff>
      <xdr:row>136</xdr:row>
      <xdr:rowOff>9525</xdr:rowOff>
    </xdr:from>
    <xdr:to>
      <xdr:col>30</xdr:col>
      <xdr:colOff>0</xdr:colOff>
      <xdr:row>137</xdr:row>
      <xdr:rowOff>114300</xdr:rowOff>
    </xdr:to>
    <xdr:sp macro="" textlink="">
      <xdr:nvSpPr>
        <xdr:cNvPr id="4718" name="Text Box 293"/>
        <xdr:cNvSpPr txBox="1">
          <a:spLocks noChangeArrowheads="1"/>
        </xdr:cNvSpPr>
      </xdr:nvSpPr>
      <xdr:spPr bwMode="auto">
        <a:xfrm>
          <a:off x="25155525" y="24955500"/>
          <a:ext cx="222885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sr-Latn-R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Prema AD 2000:2016 </a:t>
          </a:r>
        </a:p>
      </xdr:txBody>
    </xdr:sp>
    <xdr:clientData/>
  </xdr:twoCellAnchor>
  <xdr:twoCellAnchor>
    <xdr:from>
      <xdr:col>41</xdr:col>
      <xdr:colOff>0</xdr:colOff>
      <xdr:row>2</xdr:row>
      <xdr:rowOff>0</xdr:rowOff>
    </xdr:from>
    <xdr:to>
      <xdr:col>41</xdr:col>
      <xdr:colOff>0</xdr:colOff>
      <xdr:row>2</xdr:row>
      <xdr:rowOff>0</xdr:rowOff>
    </xdr:to>
    <xdr:sp macro="" textlink="">
      <xdr:nvSpPr>
        <xdr:cNvPr id="7115" name="Line 15"/>
        <xdr:cNvSpPr>
          <a:spLocks noChangeShapeType="1"/>
        </xdr:cNvSpPr>
      </xdr:nvSpPr>
      <xdr:spPr bwMode="auto">
        <a:xfrm>
          <a:off x="22612350" y="257175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1</xdr:row>
      <xdr:rowOff>38100</xdr:rowOff>
    </xdr:from>
    <xdr:to>
      <xdr:col>5</xdr:col>
      <xdr:colOff>13607</xdr:colOff>
      <xdr:row>5</xdr:row>
      <xdr:rowOff>76200</xdr:rowOff>
    </xdr:to>
    <xdr:sp macro="" textlink="">
      <xdr:nvSpPr>
        <xdr:cNvPr id="7118" name="Text Box 294"/>
        <xdr:cNvSpPr txBox="1">
          <a:spLocks noChangeArrowheads="1"/>
        </xdr:cNvSpPr>
      </xdr:nvSpPr>
      <xdr:spPr bwMode="auto">
        <a:xfrm>
          <a:off x="1280432" y="133350"/>
          <a:ext cx="1454604" cy="7320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Rikalović Milan</a:t>
          </a:r>
        </a:p>
        <a:p>
          <a:pPr algn="l" rtl="0">
            <a:defRPr sz="1000"/>
          </a:pPr>
          <a:r>
            <a:rPr lang="sr-Latn-RS" sz="1400" b="0" i="0" u="none" strike="noStrike" baseline="0">
              <a:solidFill>
                <a:srgbClr val="800080"/>
              </a:solidFill>
              <a:latin typeface="Times New Roman"/>
              <a:cs typeface="Times New Roman"/>
            </a:rPr>
            <a:t>DRT knjiga I</a:t>
          </a:r>
        </a:p>
        <a:p>
          <a:pPr algn="l" rtl="0">
            <a:defRPr sz="1000"/>
          </a:pPr>
          <a:r>
            <a:rPr lang="sr-Latn-R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EMK - v6.2018</a:t>
          </a:r>
          <a:r>
            <a:rPr lang="sr-Latn-RS" sz="1600" b="0" i="0" u="none" strike="noStrike" baseline="0">
              <a:solidFill>
                <a:srgbClr val="800080"/>
              </a:solidFill>
              <a:latin typeface="Times New Roman"/>
              <a:cs typeface="Times New Roman"/>
            </a:rPr>
            <a:t>  </a:t>
          </a:r>
        </a:p>
      </xdr:txBody>
    </xdr:sp>
    <xdr:clientData/>
  </xdr:twoCellAnchor>
  <xdr:twoCellAnchor>
    <xdr:from>
      <xdr:col>16</xdr:col>
      <xdr:colOff>228600</xdr:colOff>
      <xdr:row>1</xdr:row>
      <xdr:rowOff>38100</xdr:rowOff>
    </xdr:from>
    <xdr:to>
      <xdr:col>19</xdr:col>
      <xdr:colOff>217714</xdr:colOff>
      <xdr:row>5</xdr:row>
      <xdr:rowOff>76200</xdr:rowOff>
    </xdr:to>
    <xdr:sp macro="" textlink="">
      <xdr:nvSpPr>
        <xdr:cNvPr id="7119" name="Text Box 294"/>
        <xdr:cNvSpPr txBox="1">
          <a:spLocks noChangeArrowheads="1"/>
        </xdr:cNvSpPr>
      </xdr:nvSpPr>
      <xdr:spPr bwMode="auto">
        <a:xfrm>
          <a:off x="8447314" y="133350"/>
          <a:ext cx="1377043" cy="7320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Rikalović Milan</a:t>
          </a:r>
        </a:p>
        <a:p>
          <a:pPr algn="l" rtl="0">
            <a:defRPr sz="1000"/>
          </a:pPr>
          <a:r>
            <a:rPr lang="sr-Latn-RS" sz="1400" b="0" i="0" u="none" strike="noStrike" baseline="0">
              <a:solidFill>
                <a:srgbClr val="800080"/>
              </a:solidFill>
              <a:latin typeface="Times New Roman"/>
              <a:cs typeface="Times New Roman"/>
            </a:rPr>
            <a:t>DRT knjiga I</a:t>
          </a:r>
        </a:p>
        <a:p>
          <a:pPr algn="l" rtl="0">
            <a:defRPr sz="1000"/>
          </a:pPr>
          <a:r>
            <a:rPr lang="sr-Latn-R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EBC - v6.2018</a:t>
          </a:r>
          <a:r>
            <a:rPr lang="sr-Latn-RS" sz="1600" b="0" i="0" u="none" strike="noStrike" baseline="0">
              <a:solidFill>
                <a:srgbClr val="800080"/>
              </a:solidFill>
              <a:latin typeface="Times New Roman"/>
              <a:cs typeface="Times New Roman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oleObject" Target="../embeddings/oleObject6.bin"/><Relationship Id="rId18" Type="http://schemas.openxmlformats.org/officeDocument/2006/relationships/image" Target="../media/image6.wmf"/><Relationship Id="rId26" Type="http://schemas.openxmlformats.org/officeDocument/2006/relationships/oleObject" Target="../embeddings/oleObject17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2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oleObject" Target="../embeddings/oleObject9.bin"/><Relationship Id="rId25" Type="http://schemas.openxmlformats.org/officeDocument/2006/relationships/oleObject" Target="../embeddings/oleObject16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8.bin"/><Relationship Id="rId20" Type="http://schemas.openxmlformats.org/officeDocument/2006/relationships/oleObject" Target="../embeddings/oleObject11.bin"/><Relationship Id="rId29" Type="http://schemas.openxmlformats.org/officeDocument/2006/relationships/oleObject" Target="../embeddings/oleObject1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24" Type="http://schemas.openxmlformats.org/officeDocument/2006/relationships/oleObject" Target="../embeddings/oleObject15.bin"/><Relationship Id="rId5" Type="http://schemas.openxmlformats.org/officeDocument/2006/relationships/image" Target="../media/image1.wmf"/><Relationship Id="rId15" Type="http://schemas.openxmlformats.org/officeDocument/2006/relationships/image" Target="../media/image5.wmf"/><Relationship Id="rId23" Type="http://schemas.openxmlformats.org/officeDocument/2006/relationships/oleObject" Target="../embeddings/oleObject14.bin"/><Relationship Id="rId28" Type="http://schemas.openxmlformats.org/officeDocument/2006/relationships/image" Target="../media/image7.emf"/><Relationship Id="rId10" Type="http://schemas.openxmlformats.org/officeDocument/2006/relationships/oleObject" Target="../embeddings/oleObject4.bin"/><Relationship Id="rId19" Type="http://schemas.openxmlformats.org/officeDocument/2006/relationships/oleObject" Target="../embeddings/oleObject10.bin"/><Relationship Id="rId31" Type="http://schemas.openxmlformats.org/officeDocument/2006/relationships/comments" Target="../comments1.xml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7.bin"/><Relationship Id="rId22" Type="http://schemas.openxmlformats.org/officeDocument/2006/relationships/oleObject" Target="../embeddings/oleObject13.bin"/><Relationship Id="rId27" Type="http://schemas.openxmlformats.org/officeDocument/2006/relationships/oleObject" Target="../embeddings/oleObject18.bin"/><Relationship Id="rId30" Type="http://schemas.openxmlformats.org/officeDocument/2006/relationships/image" Target="../media/image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960"/>
  <sheetViews>
    <sheetView showGridLines="0" tabSelected="1" zoomScale="70" zoomScaleNormal="100" workbookViewId="0">
      <selection activeCell="G5" sqref="G5"/>
    </sheetView>
  </sheetViews>
  <sheetFormatPr defaultRowHeight="15"/>
  <cols>
    <col min="1" max="1" width="4.44140625" style="1" customWidth="1"/>
    <col min="2" max="7" width="6.77734375" style="1" customWidth="1"/>
    <col min="8" max="8" width="5.77734375" style="1" customWidth="1"/>
    <col min="9" max="9" width="7.77734375" style="1" customWidth="1"/>
    <col min="10" max="12" width="6.77734375" style="1" customWidth="1"/>
    <col min="13" max="14" width="2.77734375" style="1" customWidth="1"/>
    <col min="15" max="21" width="5.33203125" style="1" customWidth="1"/>
    <col min="22" max="23" width="6.33203125" style="1" customWidth="1"/>
    <col min="24" max="27" width="5.77734375" style="1" customWidth="1"/>
    <col min="28" max="30" width="2.77734375" style="1" customWidth="1"/>
  </cols>
  <sheetData>
    <row r="1" spans="1:44" ht="8.1" customHeight="1"/>
    <row r="2" spans="1:44" ht="12.75" customHeight="1">
      <c r="A2" s="2"/>
      <c r="B2" s="3"/>
      <c r="F2" s="4"/>
      <c r="G2" s="5"/>
      <c r="H2" s="6"/>
      <c r="I2" s="7"/>
      <c r="J2" s="7"/>
      <c r="K2" s="130"/>
      <c r="O2" s="2"/>
      <c r="P2" s="3"/>
      <c r="T2" s="4"/>
      <c r="U2" s="5"/>
      <c r="V2" s="7"/>
      <c r="W2" s="7"/>
      <c r="Y2" s="7"/>
      <c r="Z2" s="130"/>
      <c r="AF2" s="346"/>
      <c r="AG2" s="346"/>
      <c r="AH2" s="346"/>
      <c r="AI2" s="346"/>
      <c r="AJ2" s="346"/>
      <c r="AK2" s="346"/>
      <c r="AL2" s="346"/>
      <c r="AM2" s="346"/>
      <c r="AN2" s="346"/>
      <c r="AO2" s="346"/>
      <c r="AP2" s="346"/>
      <c r="AQ2" s="346"/>
      <c r="AR2" s="347"/>
    </row>
    <row r="3" spans="1:44" ht="15" customHeight="1">
      <c r="A3" s="8"/>
      <c r="B3" s="9"/>
      <c r="C3" s="10"/>
      <c r="D3" s="287"/>
      <c r="E3" s="10"/>
      <c r="F3" s="11"/>
      <c r="G3" s="11"/>
      <c r="H3" s="12"/>
      <c r="I3" s="13"/>
      <c r="J3" s="13"/>
      <c r="K3" s="14"/>
      <c r="L3" s="13"/>
      <c r="M3" s="10"/>
      <c r="N3" s="10"/>
      <c r="O3" s="8"/>
      <c r="P3" s="9"/>
      <c r="Q3" s="10"/>
      <c r="R3" s="99"/>
      <c r="W3" s="10"/>
      <c r="X3" s="10"/>
      <c r="Z3" s="77"/>
      <c r="AF3" s="346"/>
      <c r="AG3" s="346"/>
      <c r="AH3" s="346"/>
      <c r="AI3" s="346"/>
      <c r="AJ3" s="346"/>
      <c r="AK3" s="346"/>
      <c r="AL3" s="346"/>
      <c r="AM3" s="346"/>
      <c r="AN3" s="346"/>
      <c r="AO3" s="346"/>
      <c r="AP3" s="346"/>
      <c r="AQ3" s="346"/>
      <c r="AR3" s="348"/>
    </row>
    <row r="4" spans="1:44" ht="12.6" customHeight="1">
      <c r="A4" s="8"/>
      <c r="B4" s="8"/>
      <c r="C4" s="10"/>
      <c r="D4" s="10"/>
      <c r="E4" s="10"/>
      <c r="F4" s="15"/>
      <c r="G4" s="15"/>
      <c r="H4" s="16"/>
      <c r="I4" s="15"/>
      <c r="J4" s="15"/>
      <c r="K4" s="17"/>
      <c r="L4" s="18"/>
      <c r="M4" s="10"/>
      <c r="N4" s="10"/>
      <c r="O4" s="8"/>
      <c r="P4" s="8"/>
      <c r="Q4" s="10"/>
      <c r="R4" s="99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8"/>
    </row>
    <row r="5" spans="1:44" ht="15" customHeight="1">
      <c r="A5" s="349"/>
      <c r="B5" s="349"/>
      <c r="C5" s="350"/>
      <c r="D5" s="351"/>
      <c r="E5" s="351"/>
      <c r="G5" s="352"/>
      <c r="H5" s="353"/>
      <c r="I5" s="353"/>
      <c r="J5" s="354"/>
      <c r="K5" s="355"/>
      <c r="L5" s="355"/>
      <c r="M5" s="10"/>
      <c r="N5" s="10"/>
      <c r="O5" s="349"/>
      <c r="P5" s="349"/>
      <c r="Q5" s="350"/>
      <c r="R5" s="351"/>
      <c r="S5" s="351"/>
      <c r="T5" s="351"/>
      <c r="U5" s="352"/>
      <c r="V5" s="353"/>
      <c r="W5" s="353"/>
      <c r="X5" s="353"/>
      <c r="Y5" s="353"/>
      <c r="Z5" s="354"/>
      <c r="AA5" s="355"/>
      <c r="AB5" s="355"/>
      <c r="AC5" s="355"/>
      <c r="AD5" s="10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8"/>
    </row>
    <row r="6" spans="1:44" ht="12.75" customHeight="1">
      <c r="A6" s="19"/>
      <c r="B6" s="19"/>
      <c r="L6" s="130" t="s">
        <v>171</v>
      </c>
      <c r="M6" s="10"/>
      <c r="N6" s="10"/>
      <c r="O6" s="19"/>
      <c r="P6" s="19"/>
      <c r="Z6" s="10"/>
      <c r="AA6" s="130" t="s">
        <v>171</v>
      </c>
      <c r="AB6" s="10"/>
      <c r="AC6" s="10"/>
      <c r="AD6" s="10"/>
      <c r="AE6" s="357"/>
      <c r="AF6" s="346"/>
      <c r="AG6" s="346"/>
      <c r="AH6" s="346"/>
      <c r="AI6" s="346"/>
      <c r="AJ6" s="346"/>
      <c r="AK6" s="346"/>
      <c r="AL6" s="346"/>
      <c r="AM6" s="346"/>
      <c r="AN6" s="346"/>
      <c r="AO6" s="346"/>
      <c r="AP6" s="346"/>
      <c r="AQ6" s="346"/>
      <c r="AR6" s="346"/>
    </row>
    <row r="7" spans="1:44" ht="18" customHeight="1" thickBot="1">
      <c r="A7" s="356" t="s">
        <v>317</v>
      </c>
      <c r="C7" s="20"/>
      <c r="F7" s="20"/>
      <c r="G7" s="21"/>
      <c r="H7" s="22"/>
      <c r="I7" s="20"/>
      <c r="J7" s="21"/>
      <c r="K7" s="22"/>
      <c r="L7" s="138" t="s">
        <v>185</v>
      </c>
      <c r="M7" s="10"/>
      <c r="N7" s="10"/>
      <c r="O7" s="356" t="s">
        <v>316</v>
      </c>
      <c r="S7" s="10"/>
      <c r="T7" s="10"/>
      <c r="U7" s="10"/>
      <c r="V7" s="46"/>
      <c r="W7" s="149"/>
      <c r="X7" s="47"/>
      <c r="AB7" s="138" t="s">
        <v>215</v>
      </c>
    </row>
    <row r="8" spans="1:44" ht="15" customHeight="1" thickBot="1">
      <c r="A8" s="23"/>
      <c r="B8" s="7"/>
      <c r="E8" s="7"/>
      <c r="F8" s="7"/>
      <c r="G8" s="7"/>
      <c r="H8" s="7"/>
      <c r="I8" s="7"/>
      <c r="J8" s="7"/>
      <c r="K8" s="7"/>
      <c r="L8" s="151" t="s">
        <v>217</v>
      </c>
      <c r="M8" s="10"/>
      <c r="N8" s="10"/>
      <c r="R8" s="150" t="s">
        <v>216</v>
      </c>
      <c r="Z8" s="317" t="s">
        <v>172</v>
      </c>
      <c r="AA8" s="342" t="s">
        <v>189</v>
      </c>
      <c r="AB8" s="362" t="s">
        <v>269</v>
      </c>
      <c r="AC8" s="363"/>
      <c r="AD8" s="10"/>
    </row>
    <row r="9" spans="1:44" ht="15" customHeight="1" thickBot="1">
      <c r="B9" s="20"/>
      <c r="H9" s="20"/>
      <c r="I9" s="56" t="s">
        <v>3</v>
      </c>
      <c r="M9" s="10"/>
      <c r="O9" s="48"/>
      <c r="Z9" s="133" t="s">
        <v>218</v>
      </c>
      <c r="AA9" s="167" t="s">
        <v>142</v>
      </c>
      <c r="AB9" s="232" t="s">
        <v>270</v>
      </c>
      <c r="AC9" s="230"/>
      <c r="AD9" s="10"/>
    </row>
    <row r="10" spans="1:44" ht="15" customHeight="1" thickBot="1">
      <c r="A10" s="142" t="s">
        <v>187</v>
      </c>
      <c r="B10" s="139" t="s">
        <v>91</v>
      </c>
      <c r="C10" s="140"/>
      <c r="D10" s="147"/>
      <c r="E10" s="141"/>
      <c r="F10" s="144" t="s">
        <v>186</v>
      </c>
      <c r="G10" s="145"/>
      <c r="H10" s="146"/>
      <c r="I10" s="288" t="s">
        <v>90</v>
      </c>
      <c r="J10" s="67" t="s">
        <v>188</v>
      </c>
      <c r="K10" s="67" t="s">
        <v>189</v>
      </c>
      <c r="L10" s="67" t="s">
        <v>190</v>
      </c>
      <c r="N10" s="10"/>
      <c r="O10" s="142" t="s">
        <v>187</v>
      </c>
      <c r="P10" s="139" t="s">
        <v>91</v>
      </c>
      <c r="Q10" s="51"/>
      <c r="R10" s="51"/>
      <c r="S10" s="51"/>
      <c r="T10" s="51"/>
      <c r="U10" s="51"/>
      <c r="V10" s="318" t="s">
        <v>213</v>
      </c>
      <c r="W10" s="319" t="s">
        <v>188</v>
      </c>
      <c r="X10" s="319" t="s">
        <v>189</v>
      </c>
      <c r="Y10" s="319" t="s">
        <v>190</v>
      </c>
      <c r="Z10" s="318" t="s">
        <v>213</v>
      </c>
      <c r="AA10" s="234" t="str">
        <f>AA8</f>
        <v>Var. II</v>
      </c>
      <c r="AB10" s="233" t="s">
        <v>271</v>
      </c>
      <c r="AC10" s="231"/>
      <c r="AD10" s="10"/>
    </row>
    <row r="11" spans="1:44" ht="15" customHeight="1">
      <c r="I11" s="56" t="s">
        <v>4</v>
      </c>
      <c r="N11" s="96">
        <v>1</v>
      </c>
      <c r="O11" s="99">
        <v>7</v>
      </c>
      <c r="P11" s="28" t="s">
        <v>77</v>
      </c>
      <c r="Q11" s="14"/>
      <c r="V11" s="320" t="s">
        <v>61</v>
      </c>
      <c r="W11" s="76">
        <f>J16</f>
        <v>0.8</v>
      </c>
      <c r="X11" s="76">
        <f>K16</f>
        <v>0.8</v>
      </c>
      <c r="Y11" s="76">
        <f>L16</f>
        <v>0.8</v>
      </c>
      <c r="Z11" s="320" t="s">
        <v>61</v>
      </c>
      <c r="AA11" s="235">
        <f>IF(AA$10=W$10,W11,IF(AA$10=X$10,X11,IF(AA$10=Y$10,Y11,AB11)))</f>
        <v>0.8</v>
      </c>
      <c r="AB11" s="364">
        <v>1.2</v>
      </c>
      <c r="AC11" s="365"/>
      <c r="AD11" s="10"/>
    </row>
    <row r="12" spans="1:44" ht="15" customHeight="1">
      <c r="A12" s="99">
        <v>1</v>
      </c>
      <c r="B12" s="24" t="s">
        <v>75</v>
      </c>
      <c r="C12" s="26"/>
      <c r="D12" s="26"/>
      <c r="E12" s="26"/>
      <c r="H12" s="61"/>
      <c r="I12" s="289" t="s">
        <v>5</v>
      </c>
      <c r="J12" s="92" t="s">
        <v>6</v>
      </c>
      <c r="K12" s="92" t="s">
        <v>6</v>
      </c>
      <c r="L12" s="92" t="s">
        <v>6</v>
      </c>
      <c r="N12" s="96">
        <v>2</v>
      </c>
      <c r="O12" s="99">
        <v>18</v>
      </c>
      <c r="P12" s="28" t="s">
        <v>15</v>
      </c>
      <c r="Q12" s="148"/>
      <c r="V12" s="320" t="s">
        <v>63</v>
      </c>
      <c r="W12" s="168">
        <f>J24</f>
        <v>1.6E-2</v>
      </c>
      <c r="X12" s="168">
        <f>K24</f>
        <v>1.72E-2</v>
      </c>
      <c r="Y12" s="168">
        <f>L24</f>
        <v>0.02</v>
      </c>
      <c r="Z12" s="320" t="s">
        <v>63</v>
      </c>
      <c r="AA12" s="235">
        <f t="shared" ref="AA12:AA41" si="0">IF(AA$10=W$10,W12,IF(AA$10=X$10,X12,IF(AA$10=Y$10,Y12,AB12)))</f>
        <v>1.72E-2</v>
      </c>
      <c r="AB12" s="366">
        <v>2.5000000000000001E-2</v>
      </c>
      <c r="AC12" s="367"/>
      <c r="AD12" s="10"/>
    </row>
    <row r="13" spans="1:44" ht="15" customHeight="1">
      <c r="A13" s="99">
        <v>2</v>
      </c>
      <c r="B13" s="24" t="s">
        <v>76</v>
      </c>
      <c r="C13" s="27"/>
      <c r="D13" s="27"/>
      <c r="E13" s="27"/>
      <c r="F13" s="27"/>
      <c r="G13" s="27"/>
      <c r="H13" s="62"/>
      <c r="I13" s="289" t="s">
        <v>93</v>
      </c>
      <c r="J13" s="93" t="s">
        <v>311</v>
      </c>
      <c r="K13" s="93" t="s">
        <v>311</v>
      </c>
      <c r="L13" s="93" t="s">
        <v>311</v>
      </c>
      <c r="N13" s="96">
        <v>3</v>
      </c>
      <c r="O13" s="99">
        <v>9</v>
      </c>
      <c r="P13" s="28" t="s">
        <v>116</v>
      </c>
      <c r="Q13" s="43"/>
      <c r="V13" s="321" t="s">
        <v>62</v>
      </c>
      <c r="W13" s="76">
        <f>J18</f>
        <v>6.0000000000000001E-3</v>
      </c>
      <c r="X13" s="76">
        <f>K18</f>
        <v>6.0000000000000001E-3</v>
      </c>
      <c r="Y13" s="76">
        <f>L18</f>
        <v>6.0000000000000001E-3</v>
      </c>
      <c r="Z13" s="321" t="s">
        <v>62</v>
      </c>
      <c r="AA13" s="235">
        <f t="shared" si="0"/>
        <v>6.0000000000000001E-3</v>
      </c>
      <c r="AB13" s="366">
        <v>1.2E-2</v>
      </c>
      <c r="AC13" s="367"/>
      <c r="AD13" s="10"/>
    </row>
    <row r="14" spans="1:44" ht="15" customHeight="1">
      <c r="A14" s="99">
        <v>3</v>
      </c>
      <c r="B14" s="59" t="s">
        <v>114</v>
      </c>
      <c r="H14" s="63" t="s">
        <v>273</v>
      </c>
      <c r="I14" s="289" t="s">
        <v>94</v>
      </c>
      <c r="J14" s="93">
        <v>110</v>
      </c>
      <c r="K14" s="93">
        <v>110</v>
      </c>
      <c r="L14" s="93">
        <v>110</v>
      </c>
      <c r="N14" s="96">
        <v>4</v>
      </c>
      <c r="O14" s="99">
        <v>19</v>
      </c>
      <c r="P14" s="28" t="s">
        <v>17</v>
      </c>
      <c r="Q14" s="43"/>
      <c r="V14" s="321" t="s">
        <v>64</v>
      </c>
      <c r="W14" s="168">
        <f>J25</f>
        <v>1.1999999999999999E-3</v>
      </c>
      <c r="X14" s="168">
        <f>K25</f>
        <v>1.6000000000000001E-3</v>
      </c>
      <c r="Y14" s="168">
        <f>L25</f>
        <v>2E-3</v>
      </c>
      <c r="Z14" s="321" t="s">
        <v>64</v>
      </c>
      <c r="AA14" s="235">
        <f t="shared" si="0"/>
        <v>1.6000000000000001E-3</v>
      </c>
      <c r="AB14" s="366">
        <v>2.5000000000000001E-3</v>
      </c>
      <c r="AC14" s="367"/>
      <c r="AD14" s="10"/>
    </row>
    <row r="15" spans="1:44" ht="15" customHeight="1">
      <c r="A15" s="99">
        <v>4</v>
      </c>
      <c r="B15" s="24" t="s">
        <v>95</v>
      </c>
      <c r="C15" s="27"/>
      <c r="D15" s="27"/>
      <c r="E15" s="27"/>
      <c r="F15" s="27"/>
      <c r="G15" s="27"/>
      <c r="H15" s="100" t="s">
        <v>273</v>
      </c>
      <c r="I15" s="289" t="s">
        <v>96</v>
      </c>
      <c r="J15" s="93">
        <v>10</v>
      </c>
      <c r="K15" s="93">
        <v>10</v>
      </c>
      <c r="L15" s="93">
        <v>10</v>
      </c>
      <c r="N15" s="96">
        <v>5</v>
      </c>
      <c r="O15" s="99">
        <v>11</v>
      </c>
      <c r="P15" s="28" t="s">
        <v>79</v>
      </c>
      <c r="Q15" s="14"/>
      <c r="V15" s="320" t="s">
        <v>65</v>
      </c>
      <c r="W15" s="76">
        <f>J19</f>
        <v>0.78800000000000003</v>
      </c>
      <c r="X15" s="76">
        <f>K19</f>
        <v>0.78800000000000003</v>
      </c>
      <c r="Y15" s="76">
        <f>L19</f>
        <v>0.78800000000000003</v>
      </c>
      <c r="Z15" s="320" t="s">
        <v>65</v>
      </c>
      <c r="AA15" s="235">
        <f t="shared" si="0"/>
        <v>0.78800000000000003</v>
      </c>
      <c r="AB15" s="368">
        <f>AB11-2*AB13</f>
        <v>1.1759999999999999</v>
      </c>
      <c r="AC15" s="369"/>
      <c r="AD15" s="10"/>
    </row>
    <row r="16" spans="1:44" ht="15" customHeight="1">
      <c r="A16" s="99">
        <v>5</v>
      </c>
      <c r="B16" s="28" t="s">
        <v>77</v>
      </c>
      <c r="C16" s="25"/>
      <c r="D16" s="27"/>
      <c r="E16" s="27"/>
      <c r="F16" s="25"/>
      <c r="G16" s="27"/>
      <c r="H16" s="60" t="s">
        <v>74</v>
      </c>
      <c r="I16" s="290" t="s">
        <v>9</v>
      </c>
      <c r="J16" s="93">
        <v>0.8</v>
      </c>
      <c r="K16" s="93">
        <v>0.8</v>
      </c>
      <c r="L16" s="93">
        <v>0.8</v>
      </c>
      <c r="N16" s="96">
        <v>6</v>
      </c>
      <c r="O16" s="99">
        <v>20</v>
      </c>
      <c r="P16" s="28" t="s">
        <v>19</v>
      </c>
      <c r="Q16" s="148"/>
      <c r="V16" s="320" t="s">
        <v>66</v>
      </c>
      <c r="W16" s="76">
        <f>J26</f>
        <v>1.3600000000000001E-2</v>
      </c>
      <c r="X16" s="76">
        <f>K26</f>
        <v>1.4E-2</v>
      </c>
      <c r="Y16" s="76">
        <f>L26</f>
        <v>1.6E-2</v>
      </c>
      <c r="Z16" s="320" t="s">
        <v>66</v>
      </c>
      <c r="AA16" s="235">
        <f t="shared" si="0"/>
        <v>1.4E-2</v>
      </c>
      <c r="AB16" s="368">
        <f>AB12-2*AB14</f>
        <v>0.02</v>
      </c>
      <c r="AC16" s="369"/>
      <c r="AD16" s="10"/>
    </row>
    <row r="17" spans="1:30" ht="15" customHeight="1">
      <c r="A17" s="99">
        <v>6</v>
      </c>
      <c r="B17" s="28" t="s">
        <v>275</v>
      </c>
      <c r="C17" s="25"/>
      <c r="D17" s="27"/>
      <c r="E17" s="27"/>
      <c r="F17" s="25"/>
      <c r="G17" s="57"/>
      <c r="H17" s="60" t="s">
        <v>274</v>
      </c>
      <c r="I17" s="288" t="s">
        <v>276</v>
      </c>
      <c r="J17" s="298">
        <v>6.0000000000000001E-3</v>
      </c>
      <c r="K17" s="298">
        <v>6.0000000000000001E-3</v>
      </c>
      <c r="L17" s="298">
        <v>6.0000000000000001E-3</v>
      </c>
      <c r="N17" s="96">
        <v>7</v>
      </c>
      <c r="O17" s="99">
        <v>22</v>
      </c>
      <c r="P17" s="33" t="s">
        <v>22</v>
      </c>
      <c r="Q17" s="43"/>
      <c r="V17" s="320" t="s">
        <v>144</v>
      </c>
      <c r="W17" s="76" t="str">
        <f>J29</f>
        <v>p</v>
      </c>
      <c r="X17" s="76" t="str">
        <f>K29</f>
        <v>p</v>
      </c>
      <c r="Y17" s="76" t="str">
        <f>L29</f>
        <v>u</v>
      </c>
      <c r="Z17" s="320" t="s">
        <v>298</v>
      </c>
      <c r="AA17" s="235" t="str">
        <f t="shared" si="0"/>
        <v>p</v>
      </c>
      <c r="AB17" s="366" t="s">
        <v>24</v>
      </c>
      <c r="AC17" s="367"/>
      <c r="AD17" s="10"/>
    </row>
    <row r="18" spans="1:30" ht="15" customHeight="1">
      <c r="A18" s="99">
        <v>7</v>
      </c>
      <c r="B18" s="28" t="s">
        <v>78</v>
      </c>
      <c r="C18" s="25"/>
      <c r="D18" s="27"/>
      <c r="E18" s="27"/>
      <c r="F18" s="25"/>
      <c r="G18" s="57"/>
      <c r="H18" s="60" t="s">
        <v>277</v>
      </c>
      <c r="I18" s="288" t="s">
        <v>10</v>
      </c>
      <c r="J18" s="94">
        <v>6.0000000000000001E-3</v>
      </c>
      <c r="K18" s="94">
        <v>6.0000000000000001E-3</v>
      </c>
      <c r="L18" s="94">
        <v>6.0000000000000001E-3</v>
      </c>
      <c r="N18" s="96">
        <v>8</v>
      </c>
      <c r="O18" s="99">
        <v>21</v>
      </c>
      <c r="P18" s="33" t="s">
        <v>82</v>
      </c>
      <c r="Q18" s="43"/>
      <c r="V18" s="320" t="s">
        <v>143</v>
      </c>
      <c r="W18" s="76" t="str">
        <f>J28</f>
        <v>P</v>
      </c>
      <c r="X18" s="76" t="str">
        <f>K28</f>
        <v>U</v>
      </c>
      <c r="Y18" s="76" t="str">
        <f>L28</f>
        <v>U</v>
      </c>
      <c r="Z18" s="320" t="s">
        <v>143</v>
      </c>
      <c r="AA18" s="235" t="str">
        <f t="shared" si="0"/>
        <v>U</v>
      </c>
      <c r="AB18" s="366" t="s">
        <v>81</v>
      </c>
      <c r="AC18" s="367"/>
      <c r="AD18" s="10"/>
    </row>
    <row r="19" spans="1:30" ht="15" customHeight="1">
      <c r="A19" s="99">
        <v>8</v>
      </c>
      <c r="B19" s="28" t="s">
        <v>79</v>
      </c>
      <c r="C19" s="25"/>
      <c r="D19" s="27"/>
      <c r="E19" s="27"/>
      <c r="F19" s="25"/>
      <c r="G19" s="30"/>
      <c r="H19" s="64" t="s">
        <v>102</v>
      </c>
      <c r="I19" s="290" t="s">
        <v>11</v>
      </c>
      <c r="J19" s="68">
        <f>J16-2*J18</f>
        <v>0.78800000000000003</v>
      </c>
      <c r="K19" s="68">
        <f>K16-2*K18</f>
        <v>0.78800000000000003</v>
      </c>
      <c r="L19" s="68">
        <f>L16-2*L18</f>
        <v>0.78800000000000003</v>
      </c>
      <c r="N19" s="96">
        <v>9</v>
      </c>
      <c r="O19" s="99">
        <v>27</v>
      </c>
      <c r="P19" s="35" t="s">
        <v>119</v>
      </c>
      <c r="Q19" s="43"/>
      <c r="V19" s="320" t="s">
        <v>129</v>
      </c>
      <c r="W19" s="76" t="str">
        <f>J35</f>
        <v>ph</v>
      </c>
      <c r="X19" s="76" t="str">
        <f>K35</f>
        <v>ph</v>
      </c>
      <c r="Y19" s="76" t="str">
        <f>L35</f>
        <v>uh</v>
      </c>
      <c r="Z19" s="320" t="s">
        <v>129</v>
      </c>
      <c r="AA19" s="235" t="str">
        <f t="shared" si="0"/>
        <v>ph</v>
      </c>
      <c r="AB19" s="368" t="str">
        <f>IF(AND(AB22=6,AB21=2),"pv",IF(AB17="p","ph",IF(AB21=1,"u",IF(OR(AB21=2,AB21=3),"uv",IF(AB21=4,"uh","SOS")))))</f>
        <v>ph</v>
      </c>
      <c r="AC19" s="369"/>
      <c r="AD19" s="10"/>
    </row>
    <row r="20" spans="1:30" ht="15" customHeight="1">
      <c r="I20" s="56" t="s">
        <v>12</v>
      </c>
      <c r="J20" s="29"/>
      <c r="N20" s="96">
        <v>10</v>
      </c>
      <c r="O20" s="99">
        <v>29</v>
      </c>
      <c r="P20" s="35" t="s">
        <v>121</v>
      </c>
      <c r="Q20" s="43"/>
      <c r="V20" s="320" t="s">
        <v>129</v>
      </c>
      <c r="W20" s="76" t="str">
        <f>J37</f>
        <v>Pv</v>
      </c>
      <c r="X20" s="76" t="str">
        <f>K37</f>
        <v>Uh</v>
      </c>
      <c r="Y20" s="76" t="str">
        <f>L37</f>
        <v>Uh</v>
      </c>
      <c r="Z20" s="320" t="s">
        <v>129</v>
      </c>
      <c r="AA20" s="235" t="str">
        <f t="shared" si="0"/>
        <v>Uh</v>
      </c>
      <c r="AB20" s="368" t="str">
        <f>IF(AB18="P",IF(AB22=1,"P",IF(AB22=2,"Pv",IF(OR(AB22=3,AB22=4,AB22=6,AB22=8),"Ph"))),IF(AB18="U",IF(AB22=2,"Uv",IF(OR(AB22=2,AB22=3,AB22=4,AB22=6,AB22=8),"Uh","SOS"))))</f>
        <v>Uh</v>
      </c>
      <c r="AC20" s="369"/>
      <c r="AD20" s="10"/>
    </row>
    <row r="21" spans="1:30" ht="15" customHeight="1">
      <c r="A21" s="99">
        <v>9</v>
      </c>
      <c r="B21" s="24" t="s">
        <v>13</v>
      </c>
      <c r="C21" s="27"/>
      <c r="D21" s="27"/>
      <c r="E21" s="27"/>
      <c r="F21" s="27"/>
      <c r="G21" s="27"/>
      <c r="H21" s="62"/>
      <c r="I21" s="289" t="s">
        <v>7</v>
      </c>
      <c r="J21" s="94" t="str">
        <f>IF(J13="Hladniji","Topliji","Hladniji")</f>
        <v>Topliji</v>
      </c>
      <c r="K21" s="94" t="str">
        <f>IF(K13="Hladniji","Topliji","Hladniji")</f>
        <v>Topliji</v>
      </c>
      <c r="L21" s="94" t="str">
        <f>IF(L13="Hladniji","Topliji","Hladniji")</f>
        <v>Topliji</v>
      </c>
      <c r="N21" s="96">
        <v>11</v>
      </c>
      <c r="O21" s="99">
        <v>24</v>
      </c>
      <c r="P21" s="33" t="s">
        <v>177</v>
      </c>
      <c r="Q21" s="43"/>
      <c r="V21" s="320" t="s">
        <v>173</v>
      </c>
      <c r="W21" s="76">
        <f>J31</f>
        <v>1</v>
      </c>
      <c r="X21" s="76">
        <f>K31</f>
        <v>3</v>
      </c>
      <c r="Y21" s="76">
        <f>L31</f>
        <v>4</v>
      </c>
      <c r="Z21" s="320" t="s">
        <v>173</v>
      </c>
      <c r="AA21" s="235">
        <f t="shared" si="0"/>
        <v>3</v>
      </c>
      <c r="AB21" s="366">
        <v>3</v>
      </c>
      <c r="AC21" s="367"/>
      <c r="AD21" s="10"/>
    </row>
    <row r="22" spans="1:30" ht="15" customHeight="1">
      <c r="A22" s="99">
        <v>10</v>
      </c>
      <c r="B22" s="59" t="s">
        <v>115</v>
      </c>
      <c r="H22" s="100" t="s">
        <v>273</v>
      </c>
      <c r="I22" s="289" t="s">
        <v>113</v>
      </c>
      <c r="J22" s="94">
        <v>135</v>
      </c>
      <c r="K22" s="94">
        <v>135</v>
      </c>
      <c r="L22" s="94">
        <v>135</v>
      </c>
      <c r="N22" s="96">
        <v>12</v>
      </c>
      <c r="O22" s="99">
        <v>23</v>
      </c>
      <c r="P22" s="33" t="s">
        <v>99</v>
      </c>
      <c r="Q22" s="43"/>
      <c r="V22" s="320" t="s">
        <v>131</v>
      </c>
      <c r="W22" s="76">
        <f>J30</f>
        <v>2</v>
      </c>
      <c r="X22" s="76">
        <f>K30</f>
        <v>6</v>
      </c>
      <c r="Y22" s="76">
        <f>L30</f>
        <v>4</v>
      </c>
      <c r="Z22" s="320" t="s">
        <v>131</v>
      </c>
      <c r="AA22" s="235">
        <f t="shared" si="0"/>
        <v>6</v>
      </c>
      <c r="AB22" s="366">
        <v>6</v>
      </c>
      <c r="AC22" s="367"/>
      <c r="AD22" s="10"/>
    </row>
    <row r="23" spans="1:30" ht="15" customHeight="1">
      <c r="A23" s="99">
        <v>11</v>
      </c>
      <c r="B23" s="24" t="s">
        <v>14</v>
      </c>
      <c r="C23" s="27"/>
      <c r="D23" s="27"/>
      <c r="E23" s="27"/>
      <c r="F23" s="27"/>
      <c r="G23" s="27"/>
      <c r="H23" s="100" t="s">
        <v>273</v>
      </c>
      <c r="I23" s="289" t="s">
        <v>8</v>
      </c>
      <c r="J23" s="94">
        <v>16</v>
      </c>
      <c r="K23" s="94">
        <v>16</v>
      </c>
      <c r="L23" s="94">
        <v>16</v>
      </c>
      <c r="N23" s="96">
        <v>13</v>
      </c>
      <c r="O23" s="99">
        <v>33</v>
      </c>
      <c r="P23" s="33" t="s">
        <v>36</v>
      </c>
      <c r="Q23" s="43"/>
      <c r="V23" s="320" t="s">
        <v>160</v>
      </c>
      <c r="W23" s="76">
        <f>J41</f>
        <v>2</v>
      </c>
      <c r="X23" s="76">
        <f>K41</f>
        <v>1</v>
      </c>
      <c r="Y23" s="76">
        <f>L41</f>
        <v>2</v>
      </c>
      <c r="Z23" s="320" t="s">
        <v>160</v>
      </c>
      <c r="AA23" s="235">
        <f t="shared" si="0"/>
        <v>1</v>
      </c>
      <c r="AB23" s="366">
        <v>1</v>
      </c>
      <c r="AC23" s="367"/>
      <c r="AD23" s="10"/>
    </row>
    <row r="24" spans="1:30" ht="15" customHeight="1">
      <c r="A24" s="99">
        <v>12</v>
      </c>
      <c r="B24" s="28" t="s">
        <v>15</v>
      </c>
      <c r="C24" s="25"/>
      <c r="D24" s="7"/>
      <c r="E24" s="27"/>
      <c r="F24" s="27"/>
      <c r="G24" s="27"/>
      <c r="H24" s="60" t="s">
        <v>117</v>
      </c>
      <c r="I24" s="290" t="s">
        <v>16</v>
      </c>
      <c r="J24" s="94">
        <v>1.6E-2</v>
      </c>
      <c r="K24" s="94">
        <v>1.72E-2</v>
      </c>
      <c r="L24" s="94">
        <v>0.02</v>
      </c>
      <c r="N24" s="96">
        <v>14</v>
      </c>
      <c r="O24" s="99">
        <v>48</v>
      </c>
      <c r="P24" s="31" t="s">
        <v>52</v>
      </c>
      <c r="Q24" s="43"/>
      <c r="V24" s="320" t="s">
        <v>148</v>
      </c>
      <c r="W24" s="76">
        <f>J59</f>
        <v>0</v>
      </c>
      <c r="X24" s="76">
        <f>K59</f>
        <v>3.5999999999999997E-2</v>
      </c>
      <c r="Y24" s="76">
        <f>L59</f>
        <v>0.04</v>
      </c>
      <c r="Z24" s="320" t="s">
        <v>148</v>
      </c>
      <c r="AA24" s="235">
        <f t="shared" si="0"/>
        <v>3.5999999999999997E-2</v>
      </c>
      <c r="AB24" s="366">
        <v>0.05</v>
      </c>
      <c r="AC24" s="367"/>
      <c r="AD24" s="10"/>
    </row>
    <row r="25" spans="1:30" ht="15" customHeight="1">
      <c r="A25" s="99">
        <v>13</v>
      </c>
      <c r="B25" s="28" t="s">
        <v>17</v>
      </c>
      <c r="C25" s="7"/>
      <c r="D25" s="27"/>
      <c r="E25" s="27"/>
      <c r="F25" s="27"/>
      <c r="H25" s="60" t="s">
        <v>103</v>
      </c>
      <c r="I25" s="288" t="s">
        <v>18</v>
      </c>
      <c r="J25" s="94">
        <v>1.1999999999999999E-3</v>
      </c>
      <c r="K25" s="94">
        <v>1.6000000000000001E-3</v>
      </c>
      <c r="L25" s="94">
        <v>2E-3</v>
      </c>
      <c r="N25" s="96">
        <v>15</v>
      </c>
      <c r="O25" s="99">
        <v>43</v>
      </c>
      <c r="P25" s="32" t="s">
        <v>47</v>
      </c>
      <c r="Q25" s="43"/>
      <c r="V25" s="322" t="s">
        <v>72</v>
      </c>
      <c r="W25" s="76">
        <f t="shared" ref="W25:Y26" si="1">J51</f>
        <v>45</v>
      </c>
      <c r="X25" s="76">
        <f t="shared" si="1"/>
        <v>30</v>
      </c>
      <c r="Y25" s="76">
        <f t="shared" si="1"/>
        <v>60</v>
      </c>
      <c r="Z25" s="322" t="s">
        <v>72</v>
      </c>
      <c r="AA25" s="235">
        <f t="shared" si="0"/>
        <v>30</v>
      </c>
      <c r="AB25" s="366">
        <v>30</v>
      </c>
      <c r="AC25" s="367"/>
      <c r="AD25" s="10"/>
    </row>
    <row r="26" spans="1:30" ht="15" customHeight="1">
      <c r="A26" s="99">
        <v>14</v>
      </c>
      <c r="B26" s="28" t="s">
        <v>19</v>
      </c>
      <c r="D26" s="27"/>
      <c r="E26" s="27"/>
      <c r="H26" s="64" t="s">
        <v>104</v>
      </c>
      <c r="I26" s="290" t="s">
        <v>20</v>
      </c>
      <c r="J26" s="95">
        <f>J24-2*J25</f>
        <v>1.3600000000000001E-2</v>
      </c>
      <c r="K26" s="95">
        <f>K24-2*K25</f>
        <v>1.4E-2</v>
      </c>
      <c r="L26" s="95">
        <f>L24-2*L25</f>
        <v>1.6E-2</v>
      </c>
      <c r="N26" s="96">
        <v>16</v>
      </c>
      <c r="O26" s="99">
        <v>44</v>
      </c>
      <c r="P26" s="32" t="s">
        <v>145</v>
      </c>
      <c r="Q26" s="43"/>
      <c r="V26" s="320" t="s">
        <v>48</v>
      </c>
      <c r="W26" s="76" t="str">
        <f t="shared" si="1"/>
        <v>2K45</v>
      </c>
      <c r="X26" s="76" t="str">
        <f t="shared" si="1"/>
        <v>1T30</v>
      </c>
      <c r="Y26" s="76" t="str">
        <f t="shared" si="1"/>
        <v>2T60</v>
      </c>
      <c r="Z26" s="320" t="s">
        <v>48</v>
      </c>
      <c r="AA26" s="235" t="str">
        <f t="shared" si="0"/>
        <v>1T30</v>
      </c>
      <c r="AB26" s="368" t="str">
        <f>IF(AB25=90,1,AB23)&amp;IF(OR(AB25=90,AB25=45),"K","T")&amp;IF(AB25=30,30,IF(AB25=45,45,IF(AB25=60,60,IF(AB25=90,"90","-a"))))</f>
        <v>1T30</v>
      </c>
      <c r="AC26" s="369"/>
      <c r="AD26" s="10"/>
    </row>
    <row r="27" spans="1:30" ht="15" customHeight="1">
      <c r="I27" s="56" t="s">
        <v>92</v>
      </c>
      <c r="N27" s="96">
        <v>17</v>
      </c>
      <c r="O27" s="99">
        <v>37</v>
      </c>
      <c r="P27" s="32" t="s">
        <v>42</v>
      </c>
      <c r="Q27" s="43"/>
      <c r="V27" s="320" t="s">
        <v>67</v>
      </c>
      <c r="W27" s="76">
        <f t="shared" ref="W27:Y29" si="2">J45</f>
        <v>1.4E-2</v>
      </c>
      <c r="X27" s="76">
        <f t="shared" si="2"/>
        <v>1.9E-2</v>
      </c>
      <c r="Y27" s="76">
        <f t="shared" si="2"/>
        <v>2.1999999999999999E-2</v>
      </c>
      <c r="Z27" s="320" t="s">
        <v>67</v>
      </c>
      <c r="AA27" s="235">
        <f t="shared" si="0"/>
        <v>1.9E-2</v>
      </c>
      <c r="AB27" s="366">
        <v>2.5000000000000001E-2</v>
      </c>
      <c r="AC27" s="367"/>
      <c r="AD27" s="10"/>
    </row>
    <row r="28" spans="1:30" ht="15" customHeight="1">
      <c r="A28" s="99">
        <v>15</v>
      </c>
      <c r="B28" s="33" t="s">
        <v>82</v>
      </c>
      <c r="E28" s="27"/>
      <c r="F28" s="27"/>
      <c r="G28" s="27"/>
      <c r="H28" s="60" t="s">
        <v>74</v>
      </c>
      <c r="I28" s="291" t="s">
        <v>83</v>
      </c>
      <c r="J28" s="97" t="s">
        <v>100</v>
      </c>
      <c r="K28" s="97" t="s">
        <v>81</v>
      </c>
      <c r="L28" s="97" t="s">
        <v>81</v>
      </c>
      <c r="N28" s="96">
        <v>18</v>
      </c>
      <c r="O28" s="99">
        <v>38</v>
      </c>
      <c r="P28" s="32" t="s">
        <v>43</v>
      </c>
      <c r="Q28" s="43"/>
      <c r="V28" s="320" t="s">
        <v>68</v>
      </c>
      <c r="W28" s="76">
        <f t="shared" si="2"/>
        <v>1.4E-2</v>
      </c>
      <c r="X28" s="76">
        <f t="shared" si="2"/>
        <v>1.0999999999999999E-2</v>
      </c>
      <c r="Y28" s="76">
        <f t="shared" si="2"/>
        <v>1.2999999999999999E-2</v>
      </c>
      <c r="Z28" s="320" t="s">
        <v>68</v>
      </c>
      <c r="AA28" s="235">
        <f t="shared" si="0"/>
        <v>1.0999999999999999E-2</v>
      </c>
      <c r="AB28" s="366">
        <v>1.4999999999999999E-2</v>
      </c>
      <c r="AC28" s="367"/>
      <c r="AD28" s="10"/>
    </row>
    <row r="29" spans="1:30" ht="15" customHeight="1">
      <c r="A29" s="99">
        <v>16</v>
      </c>
      <c r="B29" s="33" t="s">
        <v>22</v>
      </c>
      <c r="E29" s="244" t="s">
        <v>279</v>
      </c>
      <c r="F29" s="316" t="s">
        <v>272</v>
      </c>
      <c r="G29" s="34"/>
      <c r="H29" s="60" t="s">
        <v>74</v>
      </c>
      <c r="I29" s="289" t="s">
        <v>23</v>
      </c>
      <c r="J29" s="98" t="s">
        <v>24</v>
      </c>
      <c r="K29" s="98" t="s">
        <v>24</v>
      </c>
      <c r="L29" s="98" t="s">
        <v>312</v>
      </c>
      <c r="N29" s="96">
        <v>19</v>
      </c>
      <c r="O29" s="99">
        <v>39</v>
      </c>
      <c r="P29" s="28" t="s">
        <v>89</v>
      </c>
      <c r="Q29" s="43"/>
      <c r="V29" s="320" t="s">
        <v>151</v>
      </c>
      <c r="W29" s="76">
        <f t="shared" si="2"/>
        <v>1.9798989873223333E-2</v>
      </c>
      <c r="X29" s="76">
        <f t="shared" si="2"/>
        <v>2.195449840010015E-2</v>
      </c>
      <c r="Y29" s="76">
        <f t="shared" si="2"/>
        <v>2.5553864678361272E-2</v>
      </c>
      <c r="Z29" s="320" t="s">
        <v>151</v>
      </c>
      <c r="AA29" s="235">
        <f t="shared" si="0"/>
        <v>2.195449840010015E-2</v>
      </c>
      <c r="AB29" s="370">
        <f>(AB27^2+AB28^2)^0.5</f>
        <v>2.9154759474226504E-2</v>
      </c>
      <c r="AC29" s="371"/>
      <c r="AD29" s="10"/>
    </row>
    <row r="30" spans="1:30" ht="15" customHeight="1">
      <c r="A30" s="99">
        <v>17</v>
      </c>
      <c r="B30" s="33" t="s">
        <v>99</v>
      </c>
      <c r="F30" s="60" t="s">
        <v>85</v>
      </c>
      <c r="G30" s="34"/>
      <c r="H30" s="60" t="s">
        <v>74</v>
      </c>
      <c r="I30" s="289" t="s">
        <v>25</v>
      </c>
      <c r="J30" s="94">
        <v>2</v>
      </c>
      <c r="K30" s="94">
        <v>6</v>
      </c>
      <c r="L30" s="94">
        <v>4</v>
      </c>
      <c r="N30" s="96">
        <v>20</v>
      </c>
      <c r="O30" s="99">
        <v>45</v>
      </c>
      <c r="P30" s="31" t="s">
        <v>49</v>
      </c>
      <c r="Q30" s="43"/>
      <c r="V30" s="293" t="s">
        <v>97</v>
      </c>
      <c r="W30" s="76">
        <f>J53</f>
        <v>3.7989898732233331E-3</v>
      </c>
      <c r="X30" s="76">
        <f>K53</f>
        <v>4.7544984001001503E-3</v>
      </c>
      <c r="Y30" s="76">
        <f>L53</f>
        <v>5.553864678361272E-3</v>
      </c>
      <c r="Z30" s="293" t="s">
        <v>97</v>
      </c>
      <c r="AA30" s="235">
        <f t="shared" si="0"/>
        <v>4.7544984001001503E-3</v>
      </c>
      <c r="AB30" s="366">
        <v>6.4999999999999997E-3</v>
      </c>
      <c r="AC30" s="367"/>
      <c r="AD30" s="10"/>
    </row>
    <row r="31" spans="1:30" ht="15" customHeight="1">
      <c r="A31" s="99">
        <v>18</v>
      </c>
      <c r="B31" s="33" t="s">
        <v>177</v>
      </c>
      <c r="F31" s="60" t="s">
        <v>86</v>
      </c>
      <c r="G31" s="34"/>
      <c r="H31" s="60" t="s">
        <v>74</v>
      </c>
      <c r="I31" s="289" t="s">
        <v>26</v>
      </c>
      <c r="J31" s="94">
        <v>1</v>
      </c>
      <c r="K31" s="94">
        <v>3</v>
      </c>
      <c r="L31" s="94">
        <v>4</v>
      </c>
      <c r="N31" s="96">
        <v>21</v>
      </c>
      <c r="O31" s="99">
        <v>40</v>
      </c>
      <c r="P31" s="32" t="s">
        <v>44</v>
      </c>
      <c r="Q31" s="43"/>
      <c r="V31" s="289" t="s">
        <v>80</v>
      </c>
      <c r="W31" s="76">
        <f>J48</f>
        <v>1.9798989873223333E-2</v>
      </c>
      <c r="X31" s="76">
        <f>K48</f>
        <v>2.195449840010015E-2</v>
      </c>
      <c r="Y31" s="76">
        <f>L48</f>
        <v>2.5553864678361272E-2</v>
      </c>
      <c r="Z31" s="289" t="s">
        <v>80</v>
      </c>
      <c r="AA31" s="235">
        <f t="shared" si="0"/>
        <v>2.195449840010015E-2</v>
      </c>
      <c r="AB31" s="368">
        <f>AB12+AB30</f>
        <v>3.15E-2</v>
      </c>
      <c r="AC31" s="369"/>
      <c r="AD31" s="10"/>
    </row>
    <row r="32" spans="1:30" ht="15" customHeight="1">
      <c r="A32" s="99">
        <v>19</v>
      </c>
      <c r="B32" s="33" t="s">
        <v>84</v>
      </c>
      <c r="G32" s="34"/>
      <c r="H32" s="63" t="s">
        <v>169</v>
      </c>
      <c r="I32" s="289" t="s">
        <v>27</v>
      </c>
      <c r="J32" s="68" t="str">
        <f>IF(J28="P",IF(OR(J30&amp;J31="44",J30&amp;J31="84"),"SOS",J30&amp;J31),IF(J30=1,"SOS",J30&amp;J31))</f>
        <v>21</v>
      </c>
      <c r="K32" s="68" t="str">
        <f>IF(K28="P",IF(OR(K30&amp;K31="44",K30&amp;K31="84"),"SOS",K30&amp;K31),IF(K30=1,"SOS",K30&amp;K31))</f>
        <v>63</v>
      </c>
      <c r="L32" s="68" t="str">
        <f>IF(L28="P",IF(OR(L30&amp;L31="44",L30&amp;L31="84"),"SOS",L30&amp;L31),IF(L30=1,"SOS",L30&amp;L31))</f>
        <v>44</v>
      </c>
      <c r="N32" s="96">
        <v>22</v>
      </c>
      <c r="O32" s="99">
        <v>52</v>
      </c>
      <c r="P32" s="43" t="s">
        <v>196</v>
      </c>
      <c r="Q32" s="43"/>
      <c r="V32" s="320" t="s">
        <v>71</v>
      </c>
      <c r="W32" s="76">
        <f>J63/2</f>
        <v>1.4E-2</v>
      </c>
      <c r="X32" s="76">
        <f>K63/2</f>
        <v>1.4999999999999999E-2</v>
      </c>
      <c r="Y32" s="76">
        <f>L63/2</f>
        <v>1.6E-2</v>
      </c>
      <c r="Z32" s="320" t="s">
        <v>71</v>
      </c>
      <c r="AA32" s="235">
        <f t="shared" si="0"/>
        <v>1.4999999999999999E-2</v>
      </c>
      <c r="AB32" s="376">
        <f>(AB12+2*0.004+0.004)/2</f>
        <v>1.8500000000000003E-2</v>
      </c>
      <c r="AC32" s="377"/>
      <c r="AD32" s="10"/>
    </row>
    <row r="33" spans="1:30" ht="15" customHeight="1">
      <c r="B33" s="126" t="s">
        <v>175</v>
      </c>
      <c r="N33" s="96">
        <v>23</v>
      </c>
      <c r="O33" s="99">
        <v>54</v>
      </c>
      <c r="P33" s="14" t="s">
        <v>157</v>
      </c>
      <c r="Q33" s="43"/>
      <c r="V33" s="289" t="s">
        <v>152</v>
      </c>
      <c r="W33" s="323" t="str">
        <f t="shared" ref="W33:Y34" si="3">J65</f>
        <v>kho=kh</v>
      </c>
      <c r="X33" s="323" t="str">
        <f t="shared" si="3"/>
        <v>kho=rmin</v>
      </c>
      <c r="Y33" s="323" t="str">
        <f t="shared" si="3"/>
        <v>kho=rmin</v>
      </c>
      <c r="Z33" s="289" t="s">
        <v>152</v>
      </c>
      <c r="AA33" s="236" t="str">
        <f t="shared" si="0"/>
        <v>kho=rmin</v>
      </c>
      <c r="AB33" s="372" t="str">
        <f>IF(AB20="SOS","SOS",IF(AB18="P",IF(OR(AB22=1,AB22=2,AB22=3),"kho=kh","kho=kp"),IF(AB18="U",IF(AB22=2,"kho=kh","kho=rmin"))))</f>
        <v>kho=rmin</v>
      </c>
      <c r="AC33" s="373"/>
      <c r="AD33" s="10"/>
    </row>
    <row r="34" spans="1:30" ht="15" customHeight="1">
      <c r="A34" s="99">
        <v>20</v>
      </c>
      <c r="B34" s="35" t="s">
        <v>118</v>
      </c>
      <c r="E34" s="36"/>
      <c r="F34" s="37"/>
      <c r="G34" s="27"/>
      <c r="H34" s="60" t="s">
        <v>28</v>
      </c>
      <c r="I34" s="289" t="s">
        <v>29</v>
      </c>
      <c r="J34" s="70" t="str">
        <f>IF(AND(J30=6,J31=2),"kv",IF(J29="p","ph",IF(J31=1,"u",IF(OR(J31=2,J31=3),"uv",IF(J31=4,"uh","SOS")))))</f>
        <v>ph</v>
      </c>
      <c r="K34" s="70" t="str">
        <f>IF(AND(K30=6,K31=2),"pv",IF(K29="p","ph",IF(K31=1,"u",IF(OR(K31=2,K31=3),"uv",IF(K31=4,"uh","SOS")))))</f>
        <v>ph</v>
      </c>
      <c r="L34" s="70" t="str">
        <f>IF(AND(L30=6,L31=2),"kv",IF(L29="p","ph",IF(L31=1,"u",IF(OR(L31=2,L31=3),"uv",IF(L31=4,"uh","SOS")))))</f>
        <v>uh</v>
      </c>
      <c r="N34" s="96">
        <v>24</v>
      </c>
      <c r="O34" s="99">
        <v>55</v>
      </c>
      <c r="P34" s="14" t="s">
        <v>158</v>
      </c>
      <c r="Q34" s="43"/>
      <c r="V34" s="289" t="s">
        <v>153</v>
      </c>
      <c r="W34" s="323" t="str">
        <f t="shared" si="3"/>
        <v>kvo=kp</v>
      </c>
      <c r="X34" s="323" t="str">
        <f t="shared" si="3"/>
        <v>kvo=kv</v>
      </c>
      <c r="Y34" s="323" t="str">
        <f t="shared" si="3"/>
        <v>kvo=kp</v>
      </c>
      <c r="Z34" s="289" t="s">
        <v>153</v>
      </c>
      <c r="AA34" s="236" t="str">
        <f t="shared" si="0"/>
        <v>kvo=kv</v>
      </c>
      <c r="AB34" s="372" t="str">
        <f>IF(AB18="P",IF(OR(AB22=1,AB22=3,AB22=6),"kvo=kv","kvo=kp"),IF(AB18="U",IF(AB22=2,"kvo=rmin",IF(OR(AB22=3,AB22=6),"kvo=kv","kvo=kp"))))</f>
        <v>kvo=kv</v>
      </c>
      <c r="AC34" s="373"/>
      <c r="AD34" s="10"/>
    </row>
    <row r="35" spans="1:30" ht="15" customHeight="1">
      <c r="A35" s="99">
        <v>21</v>
      </c>
      <c r="B35" s="35" t="s">
        <v>119</v>
      </c>
      <c r="E35" s="36"/>
      <c r="F35" s="37"/>
      <c r="G35" s="27"/>
      <c r="H35" s="60" t="s">
        <v>28</v>
      </c>
      <c r="I35" s="289" t="s">
        <v>29</v>
      </c>
      <c r="J35" s="98" t="str">
        <f>J34</f>
        <v>ph</v>
      </c>
      <c r="K35" s="98" t="str">
        <f>K34</f>
        <v>ph</v>
      </c>
      <c r="L35" s="98" t="str">
        <f>L34</f>
        <v>uh</v>
      </c>
      <c r="N35" s="96">
        <v>25</v>
      </c>
      <c r="O35" s="99">
        <v>58</v>
      </c>
      <c r="P35" s="32" t="s">
        <v>111</v>
      </c>
      <c r="Q35" s="43"/>
      <c r="V35" s="289" t="s">
        <v>55</v>
      </c>
      <c r="W35" s="76">
        <f t="shared" ref="W35:Y36" si="4">J71</f>
        <v>1.4E-2</v>
      </c>
      <c r="X35" s="76">
        <f t="shared" si="4"/>
        <v>3.5999999999999997E-2</v>
      </c>
      <c r="Y35" s="76">
        <f t="shared" si="4"/>
        <v>0.04</v>
      </c>
      <c r="Z35" s="289" t="s">
        <v>55</v>
      </c>
      <c r="AA35" s="235">
        <f t="shared" si="0"/>
        <v>3.5999999999999997E-2</v>
      </c>
      <c r="AB35" s="368">
        <f>IF(AB33="kho=rmin",AB24,IF(AB33="kho=kp",AB32,IF(AB33="kho=kh",AB27,"SOS")))</f>
        <v>0.05</v>
      </c>
      <c r="AC35" s="369"/>
      <c r="AD35" s="10"/>
    </row>
    <row r="36" spans="1:30" ht="15" customHeight="1">
      <c r="A36" s="99">
        <v>22</v>
      </c>
      <c r="B36" s="35" t="s">
        <v>120</v>
      </c>
      <c r="E36" s="36"/>
      <c r="F36" s="36"/>
      <c r="G36" s="27"/>
      <c r="H36" s="60" t="s">
        <v>30</v>
      </c>
      <c r="I36" s="289" t="s">
        <v>31</v>
      </c>
      <c r="J36" s="70" t="str">
        <f>IF(J28="P",IF(J30=1,"P",IF(J30=2,"Pv",IF(OR(J30=4,J30=6,J30=8),"Ph"))),IF(J28="U",IF(J30=2,"Uv",IF(OR(J30=2,J30=4,J30=6,J30=8),"Uh","SOS"))))</f>
        <v>Pv</v>
      </c>
      <c r="K36" s="70" t="str">
        <f>IF(K28="P",IF(K30=1,"P",IF(K30=2,"Pv",IF(OR(K30=3,K30=4,K30=6,K30=8),"Ph"))),IF(K28="U",IF(K30=2,"Uv",IF(OR(K30=2,K30=3,K30=4,K30=6,K30=8),"Uh","SOS"))))</f>
        <v>Uh</v>
      </c>
      <c r="L36" s="70" t="str">
        <f>IF(L28="P",IF(L30=1,"P",IF(L30=2,"Pv",IF(OR(L30=4,L30=6,L30=8),"Ph"))),IF(L28="U",IF(L30=2,"Uv",IF(OR(L30=2,L30=4,L30=6,L30=8),"Uh","SOS"))))</f>
        <v>Uh</v>
      </c>
      <c r="N36" s="96">
        <v>26</v>
      </c>
      <c r="O36" s="99">
        <v>59</v>
      </c>
      <c r="P36" s="32" t="s">
        <v>112</v>
      </c>
      <c r="Q36" s="43"/>
      <c r="V36" s="289" t="s">
        <v>56</v>
      </c>
      <c r="W36" s="76">
        <f t="shared" si="4"/>
        <v>1.4E-2</v>
      </c>
      <c r="X36" s="76">
        <f t="shared" si="4"/>
        <v>1.0999999999999999E-2</v>
      </c>
      <c r="Y36" s="76">
        <f t="shared" si="4"/>
        <v>1.6E-2</v>
      </c>
      <c r="Z36" s="289" t="s">
        <v>56</v>
      </c>
      <c r="AA36" s="235">
        <f t="shared" si="0"/>
        <v>1.0999999999999999E-2</v>
      </c>
      <c r="AB36" s="368">
        <f>IF(AB34="kvo=rmin",AB24,IF(AB34="kvo=kp",AB32,IF(AB34="kvo=kv",AB28,"SOS")))</f>
        <v>1.4999999999999999E-2</v>
      </c>
      <c r="AC36" s="369"/>
      <c r="AD36" s="10"/>
    </row>
    <row r="37" spans="1:30" ht="15" customHeight="1">
      <c r="A37" s="99">
        <v>23</v>
      </c>
      <c r="B37" s="35" t="s">
        <v>121</v>
      </c>
      <c r="E37" s="36"/>
      <c r="F37" s="36"/>
      <c r="G37" s="27"/>
      <c r="H37" s="60" t="s">
        <v>30</v>
      </c>
      <c r="I37" s="292" t="s">
        <v>31</v>
      </c>
      <c r="J37" s="98" t="str">
        <f>J36</f>
        <v>Pv</v>
      </c>
      <c r="K37" s="98" t="str">
        <f>K36</f>
        <v>Uh</v>
      </c>
      <c r="L37" s="98" t="str">
        <f>L36</f>
        <v>Uh</v>
      </c>
      <c r="N37" s="96">
        <v>27</v>
      </c>
      <c r="O37" s="99">
        <v>65</v>
      </c>
      <c r="P37" s="14" t="s">
        <v>58</v>
      </c>
      <c r="Q37" s="43"/>
      <c r="V37" s="324" t="s">
        <v>73</v>
      </c>
      <c r="W37" s="76">
        <f>J82</f>
        <v>1.4999999999999999E-2</v>
      </c>
      <c r="X37" s="76">
        <f>K82</f>
        <v>1.4E-2</v>
      </c>
      <c r="Y37" s="76">
        <f>L82</f>
        <v>1.6E-2</v>
      </c>
      <c r="Z37" s="324" t="s">
        <v>73</v>
      </c>
      <c r="AA37" s="235">
        <f t="shared" si="0"/>
        <v>1.4E-2</v>
      </c>
      <c r="AB37" s="368">
        <f>IF(AB25=90,4,8)*AB28*AB27/(AB12*PI())-AB12</f>
        <v>1.3197186342054884E-2</v>
      </c>
      <c r="AC37" s="369"/>
      <c r="AD37" s="10"/>
    </row>
    <row r="38" spans="1:30" ht="15" customHeight="1">
      <c r="A38" s="99">
        <v>24</v>
      </c>
      <c r="B38" s="35" t="s">
        <v>32</v>
      </c>
      <c r="E38" s="36"/>
      <c r="F38" s="36"/>
      <c r="G38" s="27"/>
      <c r="H38" s="60" t="s">
        <v>33</v>
      </c>
      <c r="I38" s="289" t="s">
        <v>34</v>
      </c>
      <c r="J38" s="70" t="str">
        <f>IF(OR(J35="SOS",J37="SOS"),"SOS",J35&amp;J37)</f>
        <v>phPv</v>
      </c>
      <c r="K38" s="70" t="str">
        <f>IF(OR(K35="SOS",K37="SOS"),"SOS",K35&amp;K37)</f>
        <v>phUh</v>
      </c>
      <c r="L38" s="70" t="str">
        <f>IF(OR(L35="SOS",L37="SOS"),"SOS",L35&amp;L37)</f>
        <v>uhUh</v>
      </c>
      <c r="N38" s="96">
        <v>28</v>
      </c>
      <c r="O38" s="99">
        <v>62</v>
      </c>
      <c r="P38" s="14" t="s">
        <v>180</v>
      </c>
      <c r="Q38" s="43"/>
      <c r="V38" s="325" t="s">
        <v>70</v>
      </c>
      <c r="W38" s="76">
        <f t="shared" ref="W38:Y40" si="5">J79</f>
        <v>8.0000000000000002E-3</v>
      </c>
      <c r="X38" s="76">
        <f t="shared" si="5"/>
        <v>8.0000000000000002E-3</v>
      </c>
      <c r="Y38" s="76">
        <f t="shared" si="5"/>
        <v>8.0000000000000002E-3</v>
      </c>
      <c r="Z38" s="325" t="s">
        <v>70</v>
      </c>
      <c r="AA38" s="235">
        <f t="shared" si="0"/>
        <v>8.0000000000000002E-3</v>
      </c>
      <c r="AB38" s="366">
        <v>6.0000000000000001E-3</v>
      </c>
      <c r="AC38" s="367"/>
      <c r="AD38" s="10"/>
    </row>
    <row r="39" spans="1:30" ht="15" customHeight="1">
      <c r="A39" s="99">
        <v>25</v>
      </c>
      <c r="B39" s="31" t="s">
        <v>147</v>
      </c>
      <c r="H39" s="60" t="s">
        <v>122</v>
      </c>
      <c r="I39" s="293" t="s">
        <v>97</v>
      </c>
      <c r="J39" s="94">
        <v>4.0000000000000001E-3</v>
      </c>
      <c r="K39" s="98">
        <v>4.1999999999999997E-3</v>
      </c>
      <c r="L39" s="94">
        <v>5.0000000000000001E-3</v>
      </c>
      <c r="N39" s="96">
        <v>29</v>
      </c>
      <c r="O39" s="99">
        <v>63</v>
      </c>
      <c r="P39" s="14" t="s">
        <v>163</v>
      </c>
      <c r="Q39" s="43"/>
      <c r="V39" s="326" t="s">
        <v>149</v>
      </c>
      <c r="W39" s="76">
        <f t="shared" si="5"/>
        <v>0.77200000000000002</v>
      </c>
      <c r="X39" s="76">
        <f t="shared" si="5"/>
        <v>0.77200000000000002</v>
      </c>
      <c r="Y39" s="76">
        <f t="shared" si="5"/>
        <v>0.77200000000000002</v>
      </c>
      <c r="Z39" s="326" t="s">
        <v>149</v>
      </c>
      <c r="AA39" s="235">
        <f t="shared" si="0"/>
        <v>0.77200000000000002</v>
      </c>
      <c r="AB39" s="376">
        <f>AB15-2*AB38</f>
        <v>1.1639999999999999</v>
      </c>
      <c r="AC39" s="377"/>
      <c r="AD39" s="10"/>
    </row>
    <row r="40" spans="1:30" ht="15" customHeight="1">
      <c r="A40" s="99">
        <v>26</v>
      </c>
      <c r="B40" s="32" t="s">
        <v>98</v>
      </c>
      <c r="C40" s="32"/>
      <c r="D40" s="25"/>
      <c r="E40" s="25"/>
      <c r="F40" s="65" t="s">
        <v>192</v>
      </c>
      <c r="H40" s="60" t="s">
        <v>191</v>
      </c>
      <c r="I40" s="289" t="s">
        <v>80</v>
      </c>
      <c r="J40" s="69">
        <f>J24+J39</f>
        <v>0.02</v>
      </c>
      <c r="K40" s="69">
        <f>K24+K39</f>
        <v>2.1399999999999999E-2</v>
      </c>
      <c r="L40" s="69">
        <f>L24+L39</f>
        <v>2.5000000000000001E-2</v>
      </c>
      <c r="N40" s="96">
        <v>30</v>
      </c>
      <c r="O40" s="99">
        <v>64</v>
      </c>
      <c r="P40" s="14" t="s">
        <v>165</v>
      </c>
      <c r="Q40" s="43"/>
      <c r="V40" s="320" t="s">
        <v>150</v>
      </c>
      <c r="W40" s="76">
        <f t="shared" si="5"/>
        <v>0.75600000000000001</v>
      </c>
      <c r="X40" s="76">
        <f t="shared" si="5"/>
        <v>0.75480000000000003</v>
      </c>
      <c r="Y40" s="76">
        <f t="shared" si="5"/>
        <v>0.752</v>
      </c>
      <c r="Z40" s="320" t="s">
        <v>150</v>
      </c>
      <c r="AA40" s="235">
        <f t="shared" si="0"/>
        <v>0.75480000000000003</v>
      </c>
      <c r="AB40" s="376">
        <f>AB39-AB12</f>
        <v>1.139</v>
      </c>
      <c r="AC40" s="377"/>
      <c r="AD40" s="10"/>
    </row>
    <row r="41" spans="1:30" ht="15" customHeight="1">
      <c r="A41" s="99">
        <v>27</v>
      </c>
      <c r="B41" s="33" t="s">
        <v>36</v>
      </c>
      <c r="F41" s="7"/>
      <c r="G41" s="37"/>
      <c r="H41" s="60" t="s">
        <v>74</v>
      </c>
      <c r="I41" s="294" t="s">
        <v>37</v>
      </c>
      <c r="J41" s="94">
        <v>2</v>
      </c>
      <c r="K41" s="94">
        <v>1</v>
      </c>
      <c r="L41" s="94">
        <v>2</v>
      </c>
      <c r="N41" s="96">
        <v>31</v>
      </c>
      <c r="O41" s="43" t="s">
        <v>211</v>
      </c>
      <c r="Q41" s="43"/>
      <c r="R41" s="134" t="s">
        <v>183</v>
      </c>
      <c r="W41" s="135">
        <f>INT((W15/2-W12/2-J71-J79+IF(OR(W22=3,W22=6,W22=8),IF(OR(W20="Pv",W20="Uv"),(W27-W32),0),0))/W27)+1</f>
        <v>27</v>
      </c>
      <c r="X41" s="135">
        <f>INT((X15/2-X12/2-K71-K79+IF(OR(X22=3,X22=6,X22=8),IF(OR(X20="Pv",X20="Uv"),(X27-X32),0),0))/X27)+1</f>
        <v>18</v>
      </c>
      <c r="Y41" s="135">
        <f>INT((Y15/2-Y12/2-L71-L79+IF(OR(Y22=3,Y22=6,Y22=8),IF(OR(Y20="Pv",Y20="Uv"),(Y27-Y32),0),0))/Y27)+1</f>
        <v>16</v>
      </c>
      <c r="Z41" s="320" t="s">
        <v>178</v>
      </c>
      <c r="AA41" s="235">
        <f t="shared" si="0"/>
        <v>18</v>
      </c>
      <c r="AB41" s="374">
        <f>INT((AB15/2-AB12/2-AB36-AB38+IF(OR(AB22=3,AB22=6,AB22=8),IF(OR(AB20="Pv",AB20="Uv"),(AB27-AB32),0),0))/AB27)+1</f>
        <v>23</v>
      </c>
      <c r="AC41" s="375"/>
      <c r="AD41" s="10"/>
    </row>
    <row r="42" spans="1:30" ht="15" customHeight="1">
      <c r="A42" s="99">
        <v>28</v>
      </c>
      <c r="B42" s="32" t="s">
        <v>87</v>
      </c>
      <c r="H42" s="60" t="s">
        <v>74</v>
      </c>
      <c r="I42" s="290" t="s">
        <v>35</v>
      </c>
      <c r="J42" s="98">
        <v>45</v>
      </c>
      <c r="K42" s="98">
        <v>30</v>
      </c>
      <c r="L42" s="98">
        <v>60</v>
      </c>
      <c r="N42" s="96">
        <v>32</v>
      </c>
      <c r="O42" s="43" t="s">
        <v>212</v>
      </c>
      <c r="Q42" s="43"/>
      <c r="R42" s="134" t="s">
        <v>184</v>
      </c>
      <c r="W42" s="135">
        <f>INT((W15/2-W12/2-W36-W38+IF(OR(W22=3,W22=6,W22=8),IF(OR(W20="Ph",W20="Uh"),(W28-2*W32),0),0))/W28)+1</f>
        <v>27</v>
      </c>
      <c r="X42" s="135">
        <f>INT((X15/2-X12/2-X36-X38+IF(OR(X22=3,X22=6,X22=8),IF(OR(X20="Ph",X20="Uh"),(X28-2*X32),0),0))/X28)+1</f>
        <v>32</v>
      </c>
      <c r="Y42" s="135">
        <f>INT((Y15/2-Y12/2-Y36-Y38+IF(OR(Y22=3,Y22=6,Y22=8),IF(OR(Y20="Ph",Y20="Uh"),(Y28-2*Y32),0),0))/Y28)+1</f>
        <v>28</v>
      </c>
      <c r="Z42" s="320" t="s">
        <v>179</v>
      </c>
      <c r="AA42" s="235">
        <f>IF(AA$10=W$10,W42,IF(AA$10=X$10,X42,IF(AA$10=Y$10,Y42,AB42)))</f>
        <v>32</v>
      </c>
      <c r="AB42" s="374">
        <f>INT((AB15/2-AB12/2-AB36-AB38+IF(OR(AB22=3,AB22=6,AB22=8),IF(OR(AB20="Ph",AB20="Uh"),(AB28-2*AB32),0),0))/AB28)+1</f>
        <v>36</v>
      </c>
      <c r="AC42" s="375"/>
      <c r="AD42" s="10"/>
    </row>
    <row r="43" spans="1:30" ht="15" customHeight="1">
      <c r="A43" s="99">
        <v>29</v>
      </c>
      <c r="B43" s="32" t="s">
        <v>38</v>
      </c>
      <c r="D43" s="34"/>
      <c r="E43" s="38"/>
      <c r="F43" s="7"/>
      <c r="H43" s="65" t="s">
        <v>193</v>
      </c>
      <c r="I43" s="289" t="s">
        <v>39</v>
      </c>
      <c r="J43" s="71">
        <f>IF(J42=90,J40,IF(J35="ph",J40*COS(J42*PI()/180),J40*SIN(J42*PI()/180)))</f>
        <v>1.4142135623730952E-2</v>
      </c>
      <c r="K43" s="71">
        <f>IF(K42=90,K40,IF(K35="ph",K40*COS(K42*PI()/180),K40*SIN(K42*PI()/180)))</f>
        <v>1.8532943640986989E-2</v>
      </c>
      <c r="L43" s="71">
        <f>IF(L42=90,L40,IF(L35="ph",L40*COS(L42*PI()/180),L40*SIN(L42*PI()/180)))</f>
        <v>2.1650635094610966E-2</v>
      </c>
      <c r="N43" s="96">
        <v>33</v>
      </c>
      <c r="O43" s="43" t="s">
        <v>247</v>
      </c>
      <c r="Q43" s="43"/>
      <c r="X43" s="320" t="s">
        <v>253</v>
      </c>
      <c r="Y43" s="285">
        <f>(IF(AA43="","",(AA43*IF(AA19="ph",AA28,AA27))^2+IF(AA19="ph",(2*AA35-2*AA27)^2,(2*AA36-2*AA28)^2)))^0.5/2</f>
        <v>3.7121422386541175E-2</v>
      </c>
      <c r="Z43" s="320" t="s">
        <v>245</v>
      </c>
      <c r="AA43" s="237">
        <f>IF(AA24=0,0,IF(AA22&gt;=2,EVEN((1/AA28)*((2*AA24)^2-(2*AA35-2*AA27)^2)^0.5),""))</f>
        <v>6</v>
      </c>
      <c r="AD43" s="10"/>
    </row>
    <row r="44" spans="1:30" ht="15" customHeight="1">
      <c r="A44" s="99">
        <v>30</v>
      </c>
      <c r="B44" s="32" t="s">
        <v>40</v>
      </c>
      <c r="D44" s="34"/>
      <c r="E44" s="38"/>
      <c r="F44" s="7"/>
      <c r="H44" s="65" t="s">
        <v>194</v>
      </c>
      <c r="I44" s="289" t="s">
        <v>41</v>
      </c>
      <c r="J44" s="71">
        <f>IF(J42=90,J40,IF(J35="ph",J40*SIN(J42*PI()/180),J40*COS(J42*PI()/180)))</f>
        <v>1.4142135623730949E-2</v>
      </c>
      <c r="K44" s="71">
        <f>IF(K42=90,K40,IF(K35="ph",K40*SIN(K42*PI()/180),K40*COS(K42*PI()/180)))</f>
        <v>1.0699999999999998E-2</v>
      </c>
      <c r="L44" s="71">
        <f>IF(L42=90,L40,IF(L35="ph",L40*SIN(L42*PI()/180),L40*COS(L42*PI()/180)))</f>
        <v>1.2500000000000004E-2</v>
      </c>
      <c r="N44" s="96">
        <v>34</v>
      </c>
      <c r="O44" s="99">
        <v>62</v>
      </c>
      <c r="P44" s="14" t="s">
        <v>239</v>
      </c>
      <c r="V44" s="289" t="str">
        <f>W10</f>
        <v>Var. I</v>
      </c>
      <c r="W44" s="368" t="str">
        <f>J74</f>
        <v>KS21-phPv-2K45</v>
      </c>
      <c r="X44" s="378"/>
      <c r="Y44" s="369"/>
      <c r="AB44" s="133" t="s">
        <v>223</v>
      </c>
      <c r="AC44" s="133"/>
      <c r="AD44" s="10"/>
    </row>
    <row r="45" spans="1:30" ht="15" customHeight="1">
      <c r="A45" s="99">
        <v>31</v>
      </c>
      <c r="B45" s="32" t="s">
        <v>42</v>
      </c>
      <c r="E45" s="40"/>
      <c r="F45" s="7"/>
      <c r="G45" s="26"/>
      <c r="H45" s="61"/>
      <c r="I45" s="289" t="s">
        <v>39</v>
      </c>
      <c r="J45" s="94">
        <v>1.4E-2</v>
      </c>
      <c r="K45" s="98">
        <v>1.9E-2</v>
      </c>
      <c r="L45" s="94">
        <v>2.1999999999999999E-2</v>
      </c>
      <c r="N45" s="1">
        <v>4</v>
      </c>
      <c r="O45" s="160" t="s">
        <v>234</v>
      </c>
      <c r="V45" s="289" t="str">
        <f>X10</f>
        <v>Var. II</v>
      </c>
      <c r="W45" s="368" t="str">
        <f>J75</f>
        <v>KS63-phUh-1T30</v>
      </c>
      <c r="X45" s="378"/>
      <c r="Y45" s="369"/>
      <c r="Z45" s="379" t="str">
        <f>IF(AA$10=V$44,W44,IF(AA$10=V$45,W45,IF(AA$10=V46,W46,W47)))</f>
        <v>KS63-phUh-1T30</v>
      </c>
      <c r="AA45" s="380"/>
      <c r="AB45" s="381"/>
      <c r="AC45" s="201"/>
      <c r="AD45" s="10"/>
    </row>
    <row r="46" spans="1:30" ht="15" customHeight="1">
      <c r="A46" s="99">
        <v>32</v>
      </c>
      <c r="B46" s="32" t="s">
        <v>43</v>
      </c>
      <c r="F46" s="7"/>
      <c r="G46" s="26"/>
      <c r="H46" s="61"/>
      <c r="I46" s="289" t="s">
        <v>41</v>
      </c>
      <c r="J46" s="94">
        <v>1.4E-2</v>
      </c>
      <c r="K46" s="98">
        <v>1.0999999999999999E-2</v>
      </c>
      <c r="L46" s="94">
        <v>1.2999999999999999E-2</v>
      </c>
      <c r="O46" s="78" t="str">
        <f>IF(AND(AA22=1,AA18="U"),"Alarm 1","")</f>
        <v/>
      </c>
      <c r="P46" s="79" t="s">
        <v>127</v>
      </c>
      <c r="V46" s="289" t="str">
        <f>Y10</f>
        <v>Var. III</v>
      </c>
      <c r="W46" s="368" t="str">
        <f>J76</f>
        <v>KS44-uhUh-2T60</v>
      </c>
      <c r="X46" s="378"/>
      <c r="Y46" s="369"/>
      <c r="AD46" s="10"/>
    </row>
    <row r="47" spans="1:30" ht="15" customHeight="1">
      <c r="A47" s="99">
        <v>33</v>
      </c>
      <c r="B47" s="28" t="s">
        <v>89</v>
      </c>
      <c r="E47" s="26"/>
      <c r="F47" s="26"/>
      <c r="H47" s="64" t="s">
        <v>200</v>
      </c>
      <c r="I47" s="295" t="s">
        <v>88</v>
      </c>
      <c r="J47" s="72">
        <f>(J45^2+J46^2)^0.5</f>
        <v>1.9798989873223333E-2</v>
      </c>
      <c r="K47" s="72">
        <f>(K45^2+K46^2)^0.5</f>
        <v>2.195449840010015E-2</v>
      </c>
      <c r="L47" s="72">
        <f>(L45^2+L46^2)^0.5</f>
        <v>2.5553864678361272E-2</v>
      </c>
      <c r="O47" s="78" t="str">
        <f>IF(AND(AA11&lt;0.2,AA22&gt;2),"Alarm 2",IF(AND(AA11&lt;0.4,AA22&gt;4),"Alarm 2",IF(AND(AA11&lt;0.6,AA22&gt;6),"Alarm 2",IF(AND(AA11&lt;1,AA22&gt;8),"Alarm 2",""))))</f>
        <v/>
      </c>
      <c r="P47" s="79" t="s">
        <v>240</v>
      </c>
      <c r="V47" s="289" t="s">
        <v>269</v>
      </c>
      <c r="W47" s="368" t="str">
        <f>"KS"&amp;IF(AB18="P",IF(OR(Ab22Ab21="44",AB22&amp;AB21="84"),"SOS",AB22&amp;AB21),IF(AB22=1,"SOS",AB22&amp;AB21))&amp;"-"&amp;IF(OR(AB19="SOS",AB20="SOS"),"SOS",AB19&amp;AB20)&amp;"-"&amp;AB26</f>
        <v>KS63-phUh-1T30</v>
      </c>
      <c r="X47" s="378"/>
      <c r="Y47" s="369"/>
      <c r="AA47" s="160" t="s">
        <v>0</v>
      </c>
      <c r="AD47" s="10"/>
    </row>
    <row r="48" spans="1:30" ht="15" customHeight="1">
      <c r="A48" s="99">
        <v>34</v>
      </c>
      <c r="B48" s="32" t="s">
        <v>44</v>
      </c>
      <c r="E48" s="26"/>
      <c r="F48" s="26"/>
      <c r="G48" s="26"/>
      <c r="H48" s="60" t="s">
        <v>45</v>
      </c>
      <c r="I48" s="289" t="s">
        <v>80</v>
      </c>
      <c r="J48" s="73">
        <f>IF(AND(J45=J46,J42=90),J45,MIN(2*J45,2*J46,J47))</f>
        <v>1.9798989873223333E-2</v>
      </c>
      <c r="K48" s="73">
        <f>IF(AND(K45=K46,K42=90),K46,MIN(2*K45,2*K46,K47))</f>
        <v>2.195449840010015E-2</v>
      </c>
      <c r="L48" s="73">
        <f>IF(AND(L45=L46,L42=90),L46,MIN(2*L45,2*L46,L47))</f>
        <v>2.5553864678361272E-2</v>
      </c>
      <c r="O48" s="78" t="str">
        <f>IF(OR(U62&gt;110%,U62&lt;90%,W62&gt;110%,W62&lt;90%),"Alarm 3","")</f>
        <v/>
      </c>
      <c r="P48" s="79" t="s">
        <v>128</v>
      </c>
      <c r="W48" s="56" t="s">
        <v>241</v>
      </c>
      <c r="AD48" s="10"/>
    </row>
    <row r="49" spans="1:30" ht="15" customHeight="1">
      <c r="A49" s="99">
        <v>35</v>
      </c>
      <c r="B49" s="31" t="s">
        <v>101</v>
      </c>
      <c r="C49" s="25"/>
      <c r="D49" s="27"/>
      <c r="E49" s="27"/>
      <c r="G49" s="27"/>
      <c r="H49" s="66" t="s">
        <v>201</v>
      </c>
      <c r="I49" s="296" t="s">
        <v>21</v>
      </c>
      <c r="J49" s="72">
        <f>ROUND(J48/J24,2)</f>
        <v>1.24</v>
      </c>
      <c r="K49" s="72">
        <f>ROUND(K48/K24,2)</f>
        <v>1.28</v>
      </c>
      <c r="L49" s="72">
        <f>ROUND(L48/L24,2)</f>
        <v>1.28</v>
      </c>
      <c r="O49" s="78" t="str">
        <f>IF(AND(AA25=90,AA24&gt;4),"Alarm 4","")</f>
        <v/>
      </c>
      <c r="P49" s="79" t="s">
        <v>174</v>
      </c>
      <c r="W49" s="56" t="s">
        <v>1</v>
      </c>
      <c r="AD49" s="10"/>
    </row>
    <row r="50" spans="1:30" ht="14.45" customHeight="1">
      <c r="A50" s="99">
        <v>36</v>
      </c>
      <c r="B50" s="32" t="s">
        <v>46</v>
      </c>
      <c r="E50" s="26"/>
      <c r="F50" s="26"/>
      <c r="G50" s="26"/>
      <c r="H50" s="61"/>
      <c r="I50" s="290" t="s">
        <v>35</v>
      </c>
      <c r="J50" s="72">
        <f>IF(AND(J45=J46,J42=90),90,IF(OR(J35="u",J35="uh",J35="uv"),ATAN(J45/J46)*180/PI(),ATAN(IF(J35="ph",J46/J45,J45/J46))*180/PI()))</f>
        <v>45</v>
      </c>
      <c r="K50" s="72">
        <f>IF(AND(K45=K46,K42=90),90,IF(OR(K35="u",K35="uh",K35="uv"),ATAN(K45/K46)*180/PI(),ATAN(IF(K35="ph",K46/K45,K45/K46))*180/PI()))</f>
        <v>30.068582821862449</v>
      </c>
      <c r="L50" s="72">
        <f>IF(AND(L45=L46,L42=90),90,IF(OR(L35="u",L35="uh",L35="uv"),ATAN(L45/L46)*180/PI(),ATAN(IF(L35="ph",L46/L45,L45/L46))*180/PI()))</f>
        <v>59.420773127510991</v>
      </c>
      <c r="O50" s="78" t="str">
        <f>IF(P109=0,"","Alarm 5")</f>
        <v/>
      </c>
      <c r="P50" s="79" t="s">
        <v>224</v>
      </c>
      <c r="W50" s="56" t="s">
        <v>2</v>
      </c>
      <c r="AD50" s="10"/>
    </row>
    <row r="51" spans="1:30" ht="14.45" customHeight="1">
      <c r="A51" s="99">
        <v>37</v>
      </c>
      <c r="B51" s="32" t="s">
        <v>47</v>
      </c>
      <c r="E51" s="26"/>
      <c r="F51" s="26"/>
      <c r="G51" s="26"/>
      <c r="H51" s="61"/>
      <c r="I51" s="297" t="s">
        <v>35</v>
      </c>
      <c r="J51" s="68">
        <f>IF(AND(J50&gt;29,J50&lt;31),30,IF(AND(J50&gt;59,J50&lt;61),60,ROUND(J50,1)))</f>
        <v>45</v>
      </c>
      <c r="K51" s="68">
        <f>IF(AND(K50&gt;29,K50&lt;31),30,IF(AND(K50&gt;59,K50&lt;61),60,ROUND(K50,1)))</f>
        <v>30</v>
      </c>
      <c r="L51" s="68">
        <f>IF(AND(L50&gt;29,L50&lt;31),30,IF(AND(L50&gt;59,L50&lt;61),60,ROUND(L50,1)))</f>
        <v>60</v>
      </c>
      <c r="AA51" s="65"/>
      <c r="AD51" s="10"/>
    </row>
    <row r="52" spans="1:30" ht="14.45" customHeight="1">
      <c r="A52" s="99">
        <v>38</v>
      </c>
      <c r="B52" s="32" t="s">
        <v>145</v>
      </c>
      <c r="E52" s="27"/>
      <c r="F52" s="27"/>
      <c r="G52" s="37"/>
      <c r="H52" s="60" t="s">
        <v>146</v>
      </c>
      <c r="I52" s="289" t="s">
        <v>48</v>
      </c>
      <c r="J52" s="68" t="str">
        <f>IF(J51=90,1,J41)&amp;IF(OR(J51=90,J51=45),"K","T")&amp;IF(J51=30,30,IF(J51=45,45,IF(J51=60,60,IF(J51=90,"90","-a"))))</f>
        <v>2K45</v>
      </c>
      <c r="K52" s="68" t="str">
        <f>IF(K51=90,1,K41)&amp;IF(OR(K51=90,K51=45),"K","T")&amp;IF(K51=30,30,IF(K51=45,45,IF(K51=60,60,IF(K51=90,"90","-a"))))</f>
        <v>1T30</v>
      </c>
      <c r="L52" s="68" t="str">
        <f>IF(L51=90,1,L41)&amp;IF(OR(L51=90,L51=45),"K","T")&amp;IF(L51=30,30,IF(L51=45,45,IF(L51=60,60,IF(L51=90,"90","-a"))))</f>
        <v>2T60</v>
      </c>
      <c r="AA52" s="22"/>
      <c r="AD52" s="10"/>
    </row>
    <row r="53" spans="1:30" ht="14.45" customHeight="1">
      <c r="A53" s="99">
        <v>39</v>
      </c>
      <c r="B53" s="31" t="s">
        <v>49</v>
      </c>
      <c r="E53" s="25"/>
      <c r="F53" s="26"/>
      <c r="H53" s="66" t="s">
        <v>202</v>
      </c>
      <c r="I53" s="293" t="s">
        <v>97</v>
      </c>
      <c r="J53" s="74">
        <f>J48-J24</f>
        <v>3.7989898732233331E-3</v>
      </c>
      <c r="K53" s="74">
        <f>K48-K24</f>
        <v>4.7544984001001503E-3</v>
      </c>
      <c r="L53" s="74">
        <f>L48-L24</f>
        <v>5.553864678361272E-3</v>
      </c>
      <c r="AA53" s="22"/>
      <c r="AD53" s="10"/>
    </row>
    <row r="54" spans="1:30" ht="14.45" customHeight="1">
      <c r="A54" s="99">
        <v>40</v>
      </c>
      <c r="B54" s="31" t="s">
        <v>124</v>
      </c>
      <c r="E54" s="27"/>
      <c r="F54" s="27"/>
      <c r="G54" s="27"/>
      <c r="H54" s="60" t="s">
        <v>123</v>
      </c>
      <c r="I54" s="289" t="s">
        <v>125</v>
      </c>
      <c r="J54" s="102">
        <v>2</v>
      </c>
      <c r="K54" s="94">
        <v>2</v>
      </c>
      <c r="L54" s="97">
        <v>2</v>
      </c>
      <c r="S54" s="204"/>
      <c r="AA54" s="22"/>
      <c r="AD54" s="10"/>
    </row>
    <row r="55" spans="1:30" ht="14.45" customHeight="1">
      <c r="A55" s="99">
        <v>41</v>
      </c>
      <c r="B55" s="31" t="s">
        <v>50</v>
      </c>
      <c r="E55" s="27"/>
      <c r="F55" s="26"/>
      <c r="H55" s="60" t="s">
        <v>51</v>
      </c>
      <c r="I55" s="295" t="s">
        <v>126</v>
      </c>
      <c r="J55" s="101">
        <f>IF(J28="P",0,J54*J24)</f>
        <v>0</v>
      </c>
      <c r="K55" s="101">
        <f>IF(K28="P",0,K54*K24)</f>
        <v>3.44E-2</v>
      </c>
      <c r="L55" s="76">
        <f>IF(L28="P",0,L54*L24)</f>
        <v>0.04</v>
      </c>
      <c r="N55" s="7"/>
      <c r="X55" s="22"/>
      <c r="AA55" s="159"/>
      <c r="AD55" s="10"/>
    </row>
    <row r="56" spans="1:30" ht="14.45" customHeight="1">
      <c r="N56" s="7"/>
      <c r="AD56" s="10"/>
    </row>
    <row r="57" spans="1:30" ht="14.45" customHeight="1">
      <c r="K57" s="130"/>
      <c r="L57" s="130" t="s">
        <v>170</v>
      </c>
      <c r="N57" s="7"/>
      <c r="O57" s="130" t="s">
        <v>214</v>
      </c>
      <c r="P57" s="130" t="s">
        <v>170</v>
      </c>
      <c r="Z57" s="130"/>
      <c r="AA57" s="130" t="s">
        <v>170</v>
      </c>
      <c r="AD57" s="10"/>
    </row>
    <row r="58" spans="1:30" ht="14.45" customHeight="1">
      <c r="L58" s="130" t="s">
        <v>210</v>
      </c>
      <c r="O58" s="182" t="s">
        <v>244</v>
      </c>
      <c r="AB58" s="130" t="s">
        <v>244</v>
      </c>
      <c r="AC58" s="130"/>
      <c r="AD58" s="10"/>
    </row>
    <row r="59" spans="1:30" ht="14.45" customHeight="1">
      <c r="A59" s="99">
        <v>42</v>
      </c>
      <c r="B59" s="31" t="s">
        <v>52</v>
      </c>
      <c r="C59" s="41"/>
      <c r="D59" s="27"/>
      <c r="E59" s="27"/>
      <c r="F59" s="27"/>
      <c r="G59" s="26"/>
      <c r="H59" s="60" t="s">
        <v>105</v>
      </c>
      <c r="I59" s="295" t="s">
        <v>126</v>
      </c>
      <c r="J59" s="98">
        <v>0</v>
      </c>
      <c r="K59" s="98">
        <v>3.5999999999999997E-2</v>
      </c>
      <c r="L59" s="98">
        <v>0.04</v>
      </c>
      <c r="N59" s="7"/>
      <c r="O59" s="156" t="s">
        <v>313</v>
      </c>
      <c r="V59" s="52"/>
      <c r="AA59" s="159" t="s">
        <v>243</v>
      </c>
      <c r="AD59" s="10"/>
    </row>
    <row r="60" spans="1:30" ht="14.45" customHeight="1">
      <c r="A60" s="99">
        <v>43</v>
      </c>
      <c r="B60" s="14" t="s">
        <v>106</v>
      </c>
      <c r="C60" s="31"/>
      <c r="D60" s="27"/>
      <c r="E60" s="27"/>
      <c r="F60" s="26"/>
      <c r="H60" s="60" t="s">
        <v>107</v>
      </c>
      <c r="I60" s="289" t="s">
        <v>53</v>
      </c>
      <c r="J60" s="102">
        <v>4.0000000000000001E-3</v>
      </c>
      <c r="K60" s="102">
        <v>4.0000000000000001E-3</v>
      </c>
      <c r="L60" s="94">
        <v>4.0000000000000001E-3</v>
      </c>
      <c r="N60" s="7"/>
      <c r="O60" s="59" t="s">
        <v>238</v>
      </c>
      <c r="S60" s="165" t="str">
        <f>AA10</f>
        <v>Var. II</v>
      </c>
      <c r="T60" s="45"/>
      <c r="U60" s="45"/>
      <c r="V60" s="53"/>
      <c r="Y60" s="304" t="s">
        <v>248</v>
      </c>
      <c r="Z60" s="59" t="s">
        <v>238</v>
      </c>
      <c r="AD60" s="10"/>
    </row>
    <row r="61" spans="1:30" ht="14.45" customHeight="1" thickBot="1">
      <c r="A61" s="99">
        <v>44</v>
      </c>
      <c r="B61" s="14" t="s">
        <v>108</v>
      </c>
      <c r="H61" s="63" t="s">
        <v>110</v>
      </c>
      <c r="I61" s="293" t="s">
        <v>109</v>
      </c>
      <c r="J61" s="94">
        <v>4.0000000000000001E-3</v>
      </c>
      <c r="K61" s="94">
        <v>4.0000000000000001E-3</v>
      </c>
      <c r="L61" s="94">
        <v>4.0000000000000001E-3</v>
      </c>
      <c r="N61" s="7"/>
      <c r="O61" s="131" t="str">
        <f>Z45</f>
        <v>KS63-phUh-1T30</v>
      </c>
      <c r="P61" s="7"/>
      <c r="R61" s="327" t="s">
        <v>131</v>
      </c>
      <c r="S61" s="166">
        <f>AA22</f>
        <v>6</v>
      </c>
      <c r="U61" s="137"/>
      <c r="V61" s="137"/>
      <c r="W61" s="137"/>
      <c r="AA61" s="183" t="str">
        <f>Z45</f>
        <v>KS63-phUh-1T30</v>
      </c>
      <c r="AD61" s="10"/>
    </row>
    <row r="62" spans="1:30" ht="14.45" customHeight="1" thickBot="1">
      <c r="A62" s="99">
        <v>45</v>
      </c>
      <c r="B62" s="43" t="s">
        <v>195</v>
      </c>
      <c r="C62" s="41"/>
      <c r="D62" s="25"/>
      <c r="E62" s="25"/>
      <c r="F62" s="26"/>
      <c r="H62" s="65" t="s">
        <v>203</v>
      </c>
      <c r="I62" s="289" t="s">
        <v>181</v>
      </c>
      <c r="J62" s="75">
        <f>J24+2*J61+J60</f>
        <v>2.8000000000000001E-2</v>
      </c>
      <c r="K62" s="75">
        <f>K24+2*K61+K60</f>
        <v>2.92E-2</v>
      </c>
      <c r="L62" s="75">
        <f>L24+2*L61+L60</f>
        <v>3.2000000000000001E-2</v>
      </c>
      <c r="N62" s="7"/>
      <c r="O62" s="161" t="s">
        <v>237</v>
      </c>
      <c r="P62" s="328" t="s">
        <v>235</v>
      </c>
      <c r="Q62" s="301">
        <v>8</v>
      </c>
      <c r="R62" s="328" t="s">
        <v>236</v>
      </c>
      <c r="S62" s="301">
        <v>12</v>
      </c>
      <c r="T62" s="163" t="s">
        <v>57</v>
      </c>
      <c r="U62" s="122">
        <f>IF(U64=0,"SOS",T64/U64)</f>
        <v>0.99346405228758172</v>
      </c>
      <c r="V62" s="83" t="s">
        <v>134</v>
      </c>
      <c r="W62" s="122">
        <f>IF(W64=0,"SOS",V64/W64)</f>
        <v>1.0654205607476634</v>
      </c>
      <c r="X62" s="206" t="s">
        <v>299</v>
      </c>
      <c r="Y62" s="208" t="s">
        <v>233</v>
      </c>
      <c r="Z62" s="207" t="s">
        <v>242</v>
      </c>
      <c r="AA62" s="184"/>
      <c r="AB62" s="209" t="s">
        <v>268</v>
      </c>
      <c r="AC62" s="213"/>
    </row>
    <row r="63" spans="1:30" ht="14.45" customHeight="1">
      <c r="A63" s="99">
        <v>46</v>
      </c>
      <c r="B63" s="43" t="s">
        <v>196</v>
      </c>
      <c r="C63" s="41"/>
      <c r="D63" s="26"/>
      <c r="E63" s="26"/>
      <c r="F63" s="26"/>
      <c r="G63" s="39"/>
      <c r="H63" s="136"/>
      <c r="I63" s="295" t="s">
        <v>182</v>
      </c>
      <c r="J63" s="98">
        <v>2.8000000000000001E-2</v>
      </c>
      <c r="K63" s="94">
        <v>0.03</v>
      </c>
      <c r="L63" s="286">
        <v>3.2000000000000001E-2</v>
      </c>
      <c r="N63" s="7"/>
      <c r="O63" s="185" t="s">
        <v>229</v>
      </c>
      <c r="P63" s="169"/>
      <c r="Q63" s="162" t="s">
        <v>226</v>
      </c>
      <c r="R63" s="164" t="s">
        <v>227</v>
      </c>
      <c r="S63" s="164" t="s">
        <v>228</v>
      </c>
      <c r="T63" s="84" t="str">
        <f>IF(T65=3,"KI=KIII","KI =KVI")</f>
        <v>KI =KVI</v>
      </c>
      <c r="U63" s="85" t="str">
        <f>IF(T65=3,"KII","KIII=KIV")</f>
        <v>KIII=KIV</v>
      </c>
      <c r="V63" s="84" t="s">
        <v>232</v>
      </c>
      <c r="W63" s="85" t="s">
        <v>231</v>
      </c>
      <c r="X63" s="196">
        <f>2*X65+AB67*PI()</f>
        <v>5.7278317626387354</v>
      </c>
      <c r="Y63" s="180" t="str">
        <f>IF(S61=1,Q63,IF(S61=2,R63,IF(S61=4,S63,"")))</f>
        <v/>
      </c>
      <c r="Z63" s="171" t="str">
        <f>IF(S61=6,T63,IF(S61=3,T63,IF(S61=8,V63,"")))</f>
        <v>KI =KVI</v>
      </c>
      <c r="AA63" s="172" t="str">
        <f>IF(S61=6,U63,IF(S61=3,U63,IF(S61=8,W63,"")))</f>
        <v>KIII=KIV</v>
      </c>
      <c r="AB63" s="211" t="s">
        <v>255</v>
      </c>
      <c r="AC63" s="214"/>
    </row>
    <row r="64" spans="1:30" ht="14.45" customHeight="1" thickBot="1">
      <c r="A64" s="99">
        <v>47</v>
      </c>
      <c r="B64" s="43" t="s">
        <v>198</v>
      </c>
      <c r="C64" s="41"/>
      <c r="D64" s="26"/>
      <c r="E64" s="26"/>
      <c r="F64" s="26"/>
      <c r="G64" s="39"/>
      <c r="H64" s="136"/>
      <c r="I64" s="295" t="s">
        <v>197</v>
      </c>
      <c r="J64" s="143" t="str">
        <f>IF(J30=3,J63,IF(J30=6,J63,IF(J30=8,J63,"")))</f>
        <v/>
      </c>
      <c r="K64" s="143">
        <f>IF(K30=3,K63,IF(K30=6,K63,IF(K30=8,K63,"")))</f>
        <v>0.03</v>
      </c>
      <c r="L64" s="143" t="str">
        <f>IF(L30=3,L63,IF(L30=6,L63,IF(L30=8,L63,"")))</f>
        <v/>
      </c>
      <c r="N64" s="7"/>
      <c r="O64" s="186" t="s">
        <v>230</v>
      </c>
      <c r="P64" s="170"/>
      <c r="Q64" s="157">
        <f>Q67</f>
        <v>1009</v>
      </c>
      <c r="R64" s="117">
        <f>R67/2</f>
        <v>487</v>
      </c>
      <c r="S64" s="117">
        <f>S67/4</f>
        <v>239</v>
      </c>
      <c r="T64" s="117">
        <f>IF(T65=3,2*(T67-2*U64/2)/4,(T67-2*U64)/4)</f>
        <v>152</v>
      </c>
      <c r="U64" s="121">
        <f>IF(T65=3,U67,U67/2)</f>
        <v>153</v>
      </c>
      <c r="V64" s="117">
        <f>(V67-4*W64)/4</f>
        <v>114</v>
      </c>
      <c r="W64" s="121">
        <f>W67/2</f>
        <v>107</v>
      </c>
      <c r="X64" s="194" t="s">
        <v>300</v>
      </c>
      <c r="Y64" s="181" t="str">
        <f>IF(S61=1,Q64,IF(S61=2,R64,IF(S61=4,S64,"")))</f>
        <v/>
      </c>
      <c r="Z64" s="117">
        <f>IF(S61=6,T64,IF(S61=3,T64,IF(S61=8,V64,"")))</f>
        <v>152</v>
      </c>
      <c r="AA64" s="121">
        <f>IF(S61=6,U64,IF(S61=3,U64,IF(S61=8,W64,"")))</f>
        <v>153</v>
      </c>
      <c r="AB64" s="215" t="s">
        <v>250</v>
      </c>
      <c r="AC64" s="217" t="s">
        <v>69</v>
      </c>
      <c r="AD64" s="10"/>
    </row>
    <row r="65" spans="1:30" ht="14.45" customHeight="1" thickBot="1">
      <c r="A65" s="99">
        <v>48</v>
      </c>
      <c r="B65" s="14" t="s">
        <v>157</v>
      </c>
      <c r="C65" s="26"/>
      <c r="D65" s="26"/>
      <c r="E65" s="44"/>
      <c r="F65" s="26"/>
      <c r="G65" s="26"/>
      <c r="H65" s="60" t="s">
        <v>199</v>
      </c>
      <c r="I65" s="289" t="s">
        <v>154</v>
      </c>
      <c r="J65" s="69" t="str">
        <f>IF(J38="SOS","SOS",IF(J28="P",IF(OR(J30=1,J30=2,J30=3),"kho=kh","kho=kp"),IF(J28="U",IF(J30=2,"kho=kh","kho=rmin"))))</f>
        <v>kho=kh</v>
      </c>
      <c r="K65" s="69" t="str">
        <f>IF(K38="SOS","SOS",IF(K28="P",IF(OR(K30=1,K30=2,K30=3),"kho=kh","kho=kp"),IF(K28="U",IF(K30=2,"kho=kh","kho=rmin"))))</f>
        <v>kho=rmin</v>
      </c>
      <c r="L65" s="69" t="str">
        <f>IF(L38="SOS","SOS",IF(L28="P",IF(OR(L30=1,L30=2,L30=3),"kho=kh","kho=kp"),IF(L28="U",IF(L30=2,"kho=kh","kho=rmin"))))</f>
        <v>kho=rmin</v>
      </c>
      <c r="O65" s="329" t="s">
        <v>130</v>
      </c>
      <c r="P65" s="330" t="s">
        <v>131</v>
      </c>
      <c r="Q65" s="302">
        <v>1</v>
      </c>
      <c r="R65" s="302">
        <v>2</v>
      </c>
      <c r="S65" s="302">
        <v>4</v>
      </c>
      <c r="T65" s="154">
        <f>IF(S61=3,3,6)</f>
        <v>6</v>
      </c>
      <c r="U65" s="155" t="s">
        <v>225</v>
      </c>
      <c r="V65" s="303">
        <v>8</v>
      </c>
      <c r="W65" s="155" t="s">
        <v>225</v>
      </c>
      <c r="X65" s="249">
        <f>IF(AA8=W10,J86,IF(AA8=X10,K86,L86))</f>
        <v>2.2999999999999998</v>
      </c>
      <c r="Y65" s="173" t="str">
        <f>IF(S61=1,1,IF(S61=2,2,IF(S61=4,4,"")))</f>
        <v/>
      </c>
      <c r="Z65" s="158">
        <f>IF(S61=3,3,IF(S61=6,6,IF(S61=8,8,"")))</f>
        <v>6</v>
      </c>
      <c r="AA65" s="174" t="s">
        <v>225</v>
      </c>
      <c r="AB65" s="216" t="s">
        <v>133</v>
      </c>
      <c r="AC65" s="251" t="s">
        <v>302</v>
      </c>
      <c r="AD65" s="10"/>
    </row>
    <row r="66" spans="1:30" ht="14.45" customHeight="1">
      <c r="A66" s="99">
        <v>49</v>
      </c>
      <c r="B66" s="14" t="s">
        <v>158</v>
      </c>
      <c r="C66" s="26"/>
      <c r="D66" s="26"/>
      <c r="E66" s="44"/>
      <c r="F66" s="26"/>
      <c r="G66" s="26"/>
      <c r="H66" s="60" t="s">
        <v>199</v>
      </c>
      <c r="I66" s="289" t="s">
        <v>159</v>
      </c>
      <c r="J66" s="69" t="str">
        <f>IF(J38="SOS","SOS",IF(J28="P",IF(OR(J30=1,J30=3,J30=6),"kvo=kv","kvo=kp"),IF(J28="U",IF(J30=2,"kvo=rmin",IF(OR(J30=3,J30=6),"kvo=kv","kvo=kp")))))</f>
        <v>kvo=kp</v>
      </c>
      <c r="K66" s="69" t="str">
        <f>IF(K38="SOS","SOS",IF(K28="P",IF(OR(K30=1,K30=3,K30=6),"kvo=kv","kvo=kp"),IF(K28="U",IF(K30=2,"kvo=rmin",IF(OR(K30=3,K30=6),"kvo=kv","kvo=kp")))))</f>
        <v>kvo=kv</v>
      </c>
      <c r="L66" s="69" t="str">
        <f>IF(L38="SOS","SOS",IF(L28="P",IF(OR(L30=1,L30=3,L30=6),"kvo=kv","kvo=kp"),IF(L28="U",IF(L30=2,"kvo=rmin",IF(OR(L30=3,L30=6),"kvo=kv","kvo=kp")))))</f>
        <v>kvo=kp</v>
      </c>
      <c r="O66" s="331" t="s">
        <v>166</v>
      </c>
      <c r="P66" s="125" t="s">
        <v>167</v>
      </c>
      <c r="Q66" s="278" t="s">
        <v>303</v>
      </c>
      <c r="R66" s="279" t="s">
        <v>305</v>
      </c>
      <c r="S66" s="280" t="s">
        <v>306</v>
      </c>
      <c r="T66" s="279" t="s">
        <v>304</v>
      </c>
      <c r="U66" s="280" t="s">
        <v>307</v>
      </c>
      <c r="V66" s="279" t="s">
        <v>308</v>
      </c>
      <c r="W66" s="280" t="s">
        <v>309</v>
      </c>
      <c r="X66" s="281" t="s">
        <v>310</v>
      </c>
      <c r="Y66" s="175" t="str">
        <f>IF(Y65=1,Q66,IF(Y65=2,R66,IF(Y65=4,S66,"")))</f>
        <v/>
      </c>
      <c r="Z66" s="177" t="str">
        <f>IF(S61=3,T66,(IF(S61=6,T66,IF(S61=8,V66,""))))</f>
        <v>Snu6</v>
      </c>
      <c r="AA66" s="178" t="str">
        <f>IF(S61=3,U66,IF(S61=6,U66,IF(S61=8,W66,"")))</f>
        <v>Snp6</v>
      </c>
      <c r="AB66" s="195" t="s">
        <v>250</v>
      </c>
      <c r="AC66" s="250" t="s">
        <v>301</v>
      </c>
      <c r="AD66" s="10"/>
    </row>
    <row r="67" spans="1:30" ht="14.45" customHeight="1" thickBot="1">
      <c r="A67" s="99">
        <v>50</v>
      </c>
      <c r="B67" s="14" t="s">
        <v>155</v>
      </c>
      <c r="C67" s="26"/>
      <c r="D67" s="26"/>
      <c r="E67" s="44"/>
      <c r="F67" s="26"/>
      <c r="G67" s="26"/>
      <c r="H67" s="61"/>
      <c r="I67" s="289" t="s">
        <v>55</v>
      </c>
      <c r="J67" s="68">
        <f>IF(J65="kho=rmin",J59,IF(J65="kho=kp",J63/2,IF(J65="kho=kh",J45,"SOS")))</f>
        <v>1.4E-2</v>
      </c>
      <c r="K67" s="68">
        <f>IF(K65="kho=rmin",K59,IF(K65="kho=kp",K63/2,IF(K65="kho=kh",K45,"SOS")))</f>
        <v>3.5999999999999997E-2</v>
      </c>
      <c r="L67" s="68">
        <f>IF(L65="kho=rmin",L59,IF(L65="kho=kp",L63/2,IF(L65="kho=kh",L45,"SOS")))</f>
        <v>0.04</v>
      </c>
      <c r="O67" s="118">
        <f>AA11</f>
        <v>0.8</v>
      </c>
      <c r="P67" s="120" t="str">
        <f>IF(O68="Br.kol.","kolona","red")</f>
        <v>kolona</v>
      </c>
      <c r="Q67" s="187">
        <f t="shared" ref="Q67:W67" si="6">2*Q111+Q69</f>
        <v>1009</v>
      </c>
      <c r="R67" s="118">
        <f t="shared" si="6"/>
        <v>974</v>
      </c>
      <c r="S67" s="119">
        <f t="shared" si="6"/>
        <v>956</v>
      </c>
      <c r="T67" s="118">
        <f t="shared" si="6"/>
        <v>914</v>
      </c>
      <c r="U67" s="120">
        <f t="shared" si="6"/>
        <v>306</v>
      </c>
      <c r="V67" s="118">
        <f t="shared" si="6"/>
        <v>884</v>
      </c>
      <c r="W67" s="120">
        <f t="shared" si="6"/>
        <v>214</v>
      </c>
      <c r="X67" s="196">
        <f>SUM(X69:X109)</f>
        <v>126.96209294653779</v>
      </c>
      <c r="Y67" s="176">
        <f>2*Y110+Y69</f>
        <v>974</v>
      </c>
      <c r="Z67" s="179">
        <f>2*Z110+Z69</f>
        <v>914</v>
      </c>
      <c r="AA67" s="120">
        <f>2*AA110+AA69</f>
        <v>306</v>
      </c>
      <c r="AB67" s="218">
        <f>MAX(AB69:AB109)</f>
        <v>0.35899999999999999</v>
      </c>
      <c r="AC67" s="219">
        <f>SUM(AC69:AC109)</f>
        <v>193</v>
      </c>
      <c r="AD67" s="10"/>
    </row>
    <row r="68" spans="1:30" ht="14.45" customHeight="1">
      <c r="A68" s="99">
        <v>51</v>
      </c>
      <c r="B68" s="14" t="s">
        <v>156</v>
      </c>
      <c r="C68" s="26"/>
      <c r="D68" s="26"/>
      <c r="E68" s="44"/>
      <c r="F68" s="26"/>
      <c r="G68" s="26"/>
      <c r="H68" s="26"/>
      <c r="I68" s="289" t="s">
        <v>56</v>
      </c>
      <c r="J68" s="68">
        <f>IF(J66="kvo=rmin",J59,IF(J66="kvo=kp",J63/2,IF(J66="kvo=kv",J46,"SOS")))</f>
        <v>1.4E-2</v>
      </c>
      <c r="K68" s="68">
        <f>IF(K66="kvo=rmin",K59,IF(K66="kvo=kp",K63/2,IF(K66="kvo=kv",K46,"SOS")))</f>
        <v>1.0999999999999999E-2</v>
      </c>
      <c r="L68" s="68">
        <f>IF(L66="kvo=rmin",L59,IF(L66="kvo=kp",L63/2,IF(L66="kvo=kv",L46,"SOS")))</f>
        <v>1.6E-2</v>
      </c>
      <c r="O68" s="103" t="str">
        <f>IF(AA20="SOS","SOS",IF(AA20="Uv","Br.reda",IF(AND(AA20="P",AA28&gt;AA27),"Br.reda","Br.kol.")))</f>
        <v>Br.kol.</v>
      </c>
      <c r="P68" s="80" t="str">
        <f>IF($O68="SOS","SOS",IF($O68="Br.kol.","yki","xri"))</f>
        <v>yki</v>
      </c>
      <c r="Q68" s="86" t="str">
        <f>IF($O68="SOS","SOS",IF($O68="Br.kol.","nk1","nr1"))</f>
        <v>nk1</v>
      </c>
      <c r="R68" s="87" t="str">
        <f>IF($O68="SOS","SOS",IF($O68="Br.kol.","nk2","nr2"))</f>
        <v>nk2</v>
      </c>
      <c r="S68" s="88" t="str">
        <f>IF($O68="SOS","SOS",IF($O68="Br.kol.","nk4","nr4"))</f>
        <v>nk4</v>
      </c>
      <c r="T68" s="81" t="str">
        <f>IF($O68="SOS","SOS",IF($O68="Br.kol.","nk6","nr6"))</f>
        <v>nk6</v>
      </c>
      <c r="U68" s="82" t="str">
        <f>IF($O68="SOS","SOS","np6")</f>
        <v>np6</v>
      </c>
      <c r="V68" s="81" t="str">
        <f>IF($O68="SOS","SOS",IF($O68="Br.kol.","nk8","nr8"))</f>
        <v>nk8</v>
      </c>
      <c r="W68" s="82" t="str">
        <f>IF($O68="SOS","SOS","np8")</f>
        <v>np8</v>
      </c>
      <c r="X68" s="332" t="s">
        <v>249</v>
      </c>
      <c r="Y68" s="188" t="str">
        <f>IF(Y65=1,Q68,IF(Y65=2,R68,IF(Y65=4,S68,"")))</f>
        <v/>
      </c>
      <c r="Z68" s="189" t="str">
        <f>IF(S61=6,T68,IF(S61=8,V68,""))</f>
        <v>nk6</v>
      </c>
      <c r="AA68" s="190" t="str">
        <f>IF(S61=6,U68,IF(S61=8,W68,""))</f>
        <v>np6</v>
      </c>
      <c r="AB68" s="202" t="s">
        <v>251</v>
      </c>
      <c r="AC68" s="203" t="s">
        <v>254</v>
      </c>
      <c r="AD68" s="10"/>
    </row>
    <row r="69" spans="1:30" ht="14.45" customHeight="1" thickBot="1">
      <c r="A69" s="99">
        <v>52</v>
      </c>
      <c r="B69" s="14" t="s">
        <v>219</v>
      </c>
      <c r="I69" s="289" t="s">
        <v>220</v>
      </c>
      <c r="J69" s="101" t="str">
        <f>IF(J28="P","",J37)</f>
        <v/>
      </c>
      <c r="K69" s="101" t="str">
        <f>IF(K28="P","",K37)</f>
        <v>Uh</v>
      </c>
      <c r="L69" s="76" t="str">
        <f>IF(L28="P","",L37)</f>
        <v>Uh</v>
      </c>
      <c r="O69" s="333">
        <v>0</v>
      </c>
      <c r="P69" s="104">
        <f>$AA$40/2</f>
        <v>0.37740000000000001</v>
      </c>
      <c r="Q69" s="105">
        <f>IF(P69=0,0,2*(INT((P69-AA$36-IF(AA$25=90,0,IF(AA$23=1,AA$28,0)))/(IF(AA$25=90,1,2)*AA$28))+1)+IF(AA$25=90,1,IF(AA$23=1,1,0)))</f>
        <v>35</v>
      </c>
      <c r="R69" s="106">
        <v>0</v>
      </c>
      <c r="S69" s="107">
        <v>0</v>
      </c>
      <c r="T69" s="108">
        <v>0</v>
      </c>
      <c r="U69" s="127">
        <v>0</v>
      </c>
      <c r="V69" s="108">
        <v>0</v>
      </c>
      <c r="W69" s="127">
        <v>0</v>
      </c>
      <c r="X69" s="197">
        <f>IF(S$61=6,Z69,IF(S$61=8,Z69,Y69))*AA$12*PI()*(2*X$65+IF(AA$18="P",0,PI()*((O69-1)*AA$27+AA$35)))</f>
        <v>0</v>
      </c>
      <c r="Y69" s="305">
        <v>0</v>
      </c>
      <c r="Z69" s="306">
        <v>0</v>
      </c>
      <c r="AA69" s="307">
        <v>0</v>
      </c>
      <c r="AB69" s="199">
        <f>IF(Z69=0,0,AA$35+(O69-1)*AA$27)</f>
        <v>0</v>
      </c>
      <c r="AC69" s="205">
        <f t="shared" ref="AC69:AC109" si="7">IF(AA$113=O69,IF(S$61=6,Z69/2,IF(S$61=8,Z69/2,Y69/2)),IF(AA$113&gt;O69,0,IF(S$61=6,Z69,IF(S$61=8,Z69,Y69))))</f>
        <v>0</v>
      </c>
      <c r="AD69" s="10"/>
    </row>
    <row r="70" spans="1:30" ht="14.45" customHeight="1">
      <c r="A70" s="99">
        <v>53</v>
      </c>
      <c r="B70" s="14" t="s">
        <v>221</v>
      </c>
      <c r="I70" s="289" t="s">
        <v>222</v>
      </c>
      <c r="J70" s="101" t="str">
        <f>IF(J69="","",J60/2+1*J45+J24/2+J61)</f>
        <v/>
      </c>
      <c r="K70" s="101">
        <f>IF(K69="","",K60/2+1*K45+K24/2+K61)</f>
        <v>3.3599999999999998E-2</v>
      </c>
      <c r="L70" s="76">
        <f>IF(L69="","",L60/2+1*L45+L24/2+L61)</f>
        <v>3.8000000000000006E-2</v>
      </c>
      <c r="O70" s="334">
        <v>1</v>
      </c>
      <c r="P70" s="109">
        <f t="shared" ref="P70:P109" si="8">IF(O$68="Br.kol.",IF(AA$40/2&lt;=AA$35+AA$27*(O70-1),0,((AA$40/2)^2-(AA$35+AA$27*($O70-1))^2)^0.5),IF(AA$40/2&lt;=AA$36+AA$28*(O70-1),0,((AA$40/2)^2-(AA$36+AA$28*($O70-1))^2)^0.5))</f>
        <v>0.37567906516067678</v>
      </c>
      <c r="Q70" s="110">
        <f>IF(P70=0,0,2*(INT((P70-AA$36-IF(AA$25=90,0,IF(AA$23=1,0,AA$28)))/(IF(AA$25=90,1,2)*AA$28))+1)+IF(AA$25=90,1,IF(AA$23=1,0,1)))</f>
        <v>34</v>
      </c>
      <c r="R70" s="111">
        <f>IF(P70=0,0,2*(INT((P70-IF(O$68="Br.kol.",AA$36,AA$35)-IF(AA$25=90,0,IF(AA$23=1,0,IF(O$68="Br.kol.",AA$28,AA$27))))/(IF(AA$25=90,1,2)*IF(O$68="Br.kol.",AA$28,AA$27)))+1)+IF(AA$25=90,1,IF(AA$23=1,0,1)))</f>
        <v>34</v>
      </c>
      <c r="S70" s="112">
        <f>IF(P70=0,0,2*(INT((P70-AA$36-IF(AA$25=90,0,IF(AA$23=1,0,AA$28)))/(IF(AA$25=90,1,2)*AA$28))+1))</f>
        <v>34</v>
      </c>
      <c r="T70" s="110">
        <f>IF(P70=0,0,2*(INT((P70-AA$36-IF(AA$25=90,0,IF(AA$23=1,0,AA$28))-IF(P70&lt;=AA$36+(Q$62-1)*AA$28,2*AA$28,2*AA$32+AA$28))/(IF(AA$25=90,1,2)*AA$28))+2)+IF(AA$25=90,1,IF(AA$23=1,0,1)))</f>
        <v>32</v>
      </c>
      <c r="U70" s="128">
        <f>IF(P70=0,0,2*(IF(MOD(Q$62,2)=0,Q$62/2,IF(AA$23=1,(Q$62+1)/2,(Q$62-1)/2)))+IF(AA$23=1,0,1))</f>
        <v>8</v>
      </c>
      <c r="V70" s="55">
        <f>IF(P70=0,0,2*(INT((P70-AA$36-IF(AA$25=90,0,IF(AA$23=1,0,AA$28))-IF(P70&lt;=AA$36+(S$62-1)*AA$28,2*AA$28,2*AA$32+AA$28))/(IF(AA$25=90,1,2)*AA$28))+2))</f>
        <v>32</v>
      </c>
      <c r="W70" s="128">
        <f>IF(P70=0,0,IF(MOD(S$62,2)=0,S$62/2,IF(AA$23=1,(S$62+1)/2,(S$62-1)/2)))</f>
        <v>6</v>
      </c>
      <c r="X70" s="191">
        <f>IF(S$61=6,Z70,IF(S$61=8,Z70,Y70))*AA$12*PI()*(2*X$65+IF(AA$18="P",0,PI()*((O70-1)*AA$27+AA$35)))</f>
        <v>8.149570233509726</v>
      </c>
      <c r="Y70" s="308">
        <v>34</v>
      </c>
      <c r="Z70" s="309">
        <v>32</v>
      </c>
      <c r="AA70" s="310">
        <v>8</v>
      </c>
      <c r="AB70" s="198">
        <f>IF(AND(Y70=0,Z70=0),0,AA$35+(O70-1)*AA$27)</f>
        <v>3.5999999999999997E-2</v>
      </c>
      <c r="AC70" s="228">
        <f t="shared" si="7"/>
        <v>0</v>
      </c>
      <c r="AD70" s="10"/>
    </row>
    <row r="71" spans="1:30" ht="14.45" customHeight="1" thickBot="1">
      <c r="A71" s="99">
        <v>54</v>
      </c>
      <c r="B71" s="32" t="s">
        <v>111</v>
      </c>
      <c r="E71" s="40"/>
      <c r="F71" s="7"/>
      <c r="G71" s="26"/>
      <c r="H71" s="61"/>
      <c r="I71" s="289" t="s">
        <v>55</v>
      </c>
      <c r="J71" s="153">
        <v>1.4E-2</v>
      </c>
      <c r="K71" s="153">
        <v>3.5999999999999997E-2</v>
      </c>
      <c r="L71" s="153">
        <v>0.04</v>
      </c>
      <c r="O71" s="334">
        <v>2</v>
      </c>
      <c r="P71" s="109">
        <f t="shared" si="8"/>
        <v>0.37337080764301861</v>
      </c>
      <c r="Q71" s="110">
        <f>IF(P71=0,0,2*(INT((P71-AA$36-IF(AA$25=90,0,IF(AA$23=1,AA$28,0)))/(IF(AA$25=90,1,2)*AA$28))+1)+IF(AA$25=90,1,IF(AA$23=1,1,0)))</f>
        <v>33</v>
      </c>
      <c r="R71" s="111">
        <f>IF(P71=0,0,2*(INT((P71-IF(O$68="Br.kol.",AA$36,AA$35)-IF(AA$25=90,0,IF(AA$23=1,IF(O$68="Br.kol.",AA$28,AA$27),0)))/(IF(AA$25=90,1,2)*IF(O$68="Br.kol.",AA$28,AA$27)))+1)+IF(AA$25=90,1,IF(AA$23=1,1,0)))</f>
        <v>33</v>
      </c>
      <c r="S71" s="112">
        <f>IF(P71=0,0,2*(INT((P71-AA$36-IF(AA$25=90,0,IF(AA$23=1,AA$28,0)))/(IF(AA$25=90,1,2)*AA$28))+1))</f>
        <v>32</v>
      </c>
      <c r="T71" s="110">
        <f>IF(P71=0,0,2*(INT((P71-AA$36-IF(AA$25=90,0,IF(AA$23=1,AA$28,0))-IF(P71&lt;=AA$36+(Q$62-1)*AA$28,2*AA$28,2*AA$32+AA$28))/(IF(AA$25=90,1,2)*AA$28))+2)+IF(AA$25=90,1,IF(AA$23=1,1,0)))</f>
        <v>33</v>
      </c>
      <c r="U71" s="129">
        <f>IF(P71=0,0,2*(IF(MOD(Q$62,2)=0,Q$62/2,IF(AA$23=1,(Q$62-1)/2,(Q$62+1)/2)))+IF(AA$23=1,1,0))</f>
        <v>9</v>
      </c>
      <c r="V71" s="55">
        <f>IF(P71=0,0,2*(INT((P71-AA$36-IF(AA$25=90,0,IF(AA$23=1,AA$28,0))-IF(P71&lt;=AA$36+(S$62-1)*AA$28,2*AA$28,2*AA$32+AA$28))/(IF(AA$25=90,1,2)*AA$28))+2))</f>
        <v>32</v>
      </c>
      <c r="W71" s="129">
        <f>IF(P71=0,0,IF(MOD(S$62,2)=0,S$62/2,IF(AA$23=1,(S$62-1)/2,(S$62+1)/2)))</f>
        <v>6</v>
      </c>
      <c r="X71" s="191">
        <f>IF(S$61=6,Z71,IF(S$61=8,Z71,Y71))*AA$12*PI()*(2*X$65+IF(AA$18="P",0,PI()*AB71))</f>
        <v>8.5106820650100126</v>
      </c>
      <c r="Y71" s="308">
        <v>33</v>
      </c>
      <c r="Z71" s="309">
        <v>33</v>
      </c>
      <c r="AA71" s="310">
        <v>9</v>
      </c>
      <c r="AB71" s="198">
        <f>IF(AND(Y71=0,Z71=0),0,AA$35+(O71-1)*AA$27)</f>
        <v>5.4999999999999993E-2</v>
      </c>
      <c r="AC71" s="228">
        <f t="shared" si="7"/>
        <v>0</v>
      </c>
      <c r="AD71" s="10"/>
    </row>
    <row r="72" spans="1:30" ht="14.45" customHeight="1">
      <c r="A72" s="99">
        <v>55</v>
      </c>
      <c r="B72" s="32" t="s">
        <v>112</v>
      </c>
      <c r="F72" s="7"/>
      <c r="G72" s="26"/>
      <c r="H72" s="61"/>
      <c r="I72" s="289" t="s">
        <v>56</v>
      </c>
      <c r="J72" s="153">
        <v>1.4E-2</v>
      </c>
      <c r="K72" s="153">
        <v>1.0999999999999999E-2</v>
      </c>
      <c r="L72" s="153">
        <v>1.6E-2</v>
      </c>
      <c r="O72" s="334">
        <v>3</v>
      </c>
      <c r="P72" s="109">
        <f t="shared" si="8"/>
        <v>0.37007399260147966</v>
      </c>
      <c r="Q72" s="110">
        <f>IF(P72=0,0,2*(INT((P72-AA$36-IF(AA$25=90,0,IF(AA$23=1,0,AA$28)))/(IF(AA$25=90,1,2)*AA$28))+1)+IF(AA$25=90,1,IF(AA$23=1,0,1)))</f>
        <v>34</v>
      </c>
      <c r="R72" s="111">
        <f>IF(P72=0,0,2*(INT((P72-IF(O$68="Br.kol.",AA$36,AA$35)-IF(AA$25=90,0,IF(AA$23=1,0,IF(O$68="Br.kol.",AA$28,AA$27))))/(IF(AA$25=90,1,2)*IF(O$68="Br.kol.",AA$28,AA$27)))+1)+IF(AA$25=90,1,IF(AA$23=1,0,1)))</f>
        <v>34</v>
      </c>
      <c r="S72" s="112">
        <f>IF(P72=0,0,2*(INT((P72-AA$36-IF(AA$25=90,0,IF(AA$23=1,0,AA$28)))/(IF(AA$25=90,1,2)*AA$28))+1))</f>
        <v>34</v>
      </c>
      <c r="T72" s="110">
        <f>IF(P72=0,0,2*(INT((P72-AA$36-IF(AA$25=90,0,IF(AA$23=1,0,AA$28))-IF(P72&lt;=AA$36+(Q$62-1)*AA$28,2*AA$28,2*AA$32+AA$28))/(IF(AA$25=90,1,2)*AA$28))+2)+IF(AA$25=90,1,IF(AA$23=1,0,1)))</f>
        <v>32</v>
      </c>
      <c r="U72" s="112">
        <f>IF(P72=0,0,IF(U$70&gt;=T72,T72,U$70))</f>
        <v>8</v>
      </c>
      <c r="V72" s="55">
        <f>IF(P72=0,0,2*(INT((P72-AA$36-IF(AA$25=90,0,IF(AA$23=1,0,AA$28))-IF(P72&lt;=AA$36+(S$62-1)*AA$28,2*AA$28,2*AA$32+AA$28))/(IF(AA$25=90,1,2)*AA$28))+2))</f>
        <v>32</v>
      </c>
      <c r="W72" s="123">
        <f>IF(P72=0,0,IF(W$70&lt;V72/2,W$70,V72/2))</f>
        <v>6</v>
      </c>
      <c r="X72" s="191">
        <f>IF(S$61=6,Z72,IF(S$61=8,Z72,Y72))*AA$12*PI()*(2*X$65+IF(AA$18="P",0,PI()*AB72))</f>
        <v>8.3559949834793894</v>
      </c>
      <c r="Y72" s="308">
        <v>34</v>
      </c>
      <c r="Z72" s="309">
        <v>32</v>
      </c>
      <c r="AA72" s="310">
        <v>8</v>
      </c>
      <c r="AB72" s="198">
        <f t="shared" ref="AB72:AB109" si="9">IF(AND(Y72=0,Z72=0),0,AA$35+(O72-1)*AA$27)</f>
        <v>7.3999999999999996E-2</v>
      </c>
      <c r="AC72" s="228">
        <f t="shared" si="7"/>
        <v>0</v>
      </c>
      <c r="AD72" s="10"/>
    </row>
    <row r="73" spans="1:30" ht="14.45" customHeight="1">
      <c r="I73" s="56" t="s">
        <v>168</v>
      </c>
      <c r="O73" s="334">
        <v>4</v>
      </c>
      <c r="P73" s="109">
        <f t="shared" si="8"/>
        <v>0.36576188975889767</v>
      </c>
      <c r="Q73" s="110">
        <f>IF(P73=0,0,2*(INT((P73-AA$36-IF(AA$25=90,0,IF(AA$23=1,AA$28,0)))/(IF(AA$25=90,1,2)*AA$28))+1)+IF(AA$25=90,1,IF(AA$23=1,1,0)))</f>
        <v>33</v>
      </c>
      <c r="R73" s="111">
        <f>IF(P73=0,0,2*(INT((P73-IF(O$68="Br.kol.",AA$36,AA$35)-IF(AA$25=90,0,IF(AA$23=1,IF(O$68="Br.kol.",AA$28,AA$27),0)))/(IF(AA$25=90,1,2)*IF(O$68="Br.kol.",AA$28,AA$27)))+1)+IF(AA$25=90,1,IF(AA$23=1,1,0)))</f>
        <v>33</v>
      </c>
      <c r="S73" s="112">
        <f>IF(P73=0,0,2*(INT((P73-AA$36-IF(AA$25=90,0,IF(AA$23=1,AA$28,0)))/(IF(AA$25=90,1,2)*AA$28))+1))</f>
        <v>32</v>
      </c>
      <c r="T73" s="110">
        <f>IF(P73=0,0,2*(INT((P73-AA$36-IF(AA$25=90,0,IF(AA$23=1,AA$28,0))-IF(P73&lt;=AA$36+(Q$62-1)*AA$28,2*AA$28,2*AA$32+AA$28))/(IF(AA$25=90,1,2)*AA$28))+2)+IF(AA$25=90,1,IF(AA$23=1,1,0)))</f>
        <v>31</v>
      </c>
      <c r="U73" s="112">
        <f>IF(P73=0,0,IF(U$71&gt;=T73,T73,U$71))</f>
        <v>9</v>
      </c>
      <c r="V73" s="55">
        <f t="shared" ref="V73:V109" si="10">IF(P73=0,0,2*(INT((P73-AA$36-IF(AA$25=90,0,IF(AA$23=1,AA$28,0))-IF(P73&lt;=AA$36+(S$62-1)*AA$28,2*AA$28,2*AA$32+AA$28))/(IF(AA$25=90,1,2)*AA$28))+2))</f>
        <v>30</v>
      </c>
      <c r="W73" s="123">
        <f>IF(P73=0,0,IF(W$71&lt;V73/2,W$71,V73/2))</f>
        <v>6</v>
      </c>
      <c r="X73" s="191">
        <f t="shared" ref="X73:X79" si="11">IF(S$61=6,Z73,IF(S$61=8,Z73,Y73))*AA$12*PI()*(2*X$65+IF(AA$18="P",0,PI()*AB73))</f>
        <v>8.1948571285122149</v>
      </c>
      <c r="Y73" s="308">
        <v>33</v>
      </c>
      <c r="Z73" s="309">
        <v>31</v>
      </c>
      <c r="AA73" s="310">
        <v>9</v>
      </c>
      <c r="AB73" s="198">
        <f t="shared" si="9"/>
        <v>9.2999999999999999E-2</v>
      </c>
      <c r="AC73" s="228">
        <f t="shared" si="7"/>
        <v>0</v>
      </c>
      <c r="AD73" s="10"/>
    </row>
    <row r="74" spans="1:30" ht="14.45" customHeight="1">
      <c r="A74" s="99">
        <v>56</v>
      </c>
      <c r="B74" s="14" t="s">
        <v>60</v>
      </c>
      <c r="G74" s="60" t="s">
        <v>176</v>
      </c>
      <c r="H74" s="245" t="str">
        <f>IF(OR(J31=1,J31=3),IF(F29="Da","G","E"),"F")</f>
        <v>E</v>
      </c>
      <c r="I74" s="299" t="str">
        <f>J10</f>
        <v>Var. I</v>
      </c>
      <c r="J74" s="359" t="str">
        <f>"KS"&amp;J32&amp;"-"&amp;J38&amp;"-"&amp;J52</f>
        <v>KS21-phPv-2K45</v>
      </c>
      <c r="K74" s="360"/>
      <c r="L74" s="361"/>
      <c r="O74" s="334">
        <v>5</v>
      </c>
      <c r="P74" s="109">
        <f t="shared" si="8"/>
        <v>0.36039805770841776</v>
      </c>
      <c r="Q74" s="110">
        <f>IF(P74=0,0,2*(INT((P74-AA$36-IF(AA$25=90,0,IF(AA$23=1,0,AA$28)))/(IF(AA$25=90,1,2)*AA$28))+1)+IF(AA$25=90,1,IF(AA$23=1,0,1)))</f>
        <v>32</v>
      </c>
      <c r="R74" s="111">
        <f>IF(P74=0,0,2*(INT((P74-IF(O$68="Br.kol.",AA$36,AA$35)-IF(AA$25=90,0,IF(AA$23=1,0,IF(O$68="Br.kol.",AA$28,AA$27))))/(IF(AA$25=90,1,2)*IF(O$68="Br.kol.",AA$28,AA$27)))+1)+IF(AA$25=90,1,IF(AA$23=1,0,1)))</f>
        <v>32</v>
      </c>
      <c r="S74" s="112">
        <f>IF(P74=0,0,2*(INT((P74-AA$36-IF(AA$25=90,0,IF(AA$23=1,0,AA$28)))/(IF(AA$25=90,1,2)*AA$28))+1))</f>
        <v>32</v>
      </c>
      <c r="T74" s="110">
        <f>IF(P74=0,0,2*(INT((P74-AA$36-IF(AA$25=90,0,IF(AA$23=1,0,AA$28))-IF(P74&lt;=AA$36+(Q$62-1)*AA$28,2*AA$28,2*AA$32+AA$28))/(IF(AA$25=90,1,2)*AA$28))+2)+IF(AA$25=90,1,IF(AA$23=1,0,1)))</f>
        <v>32</v>
      </c>
      <c r="U74" s="112">
        <f>IF(P74=0,0,IF(U$70&gt;=T74,T74,U$70))</f>
        <v>8</v>
      </c>
      <c r="V74" s="55">
        <f t="shared" si="10"/>
        <v>30</v>
      </c>
      <c r="W74" s="123">
        <f>IF(P74=0,0,IF(W$70&lt;V74/2,W$70,V74/2))</f>
        <v>6</v>
      </c>
      <c r="X74" s="191">
        <f t="shared" si="11"/>
        <v>8.5624197334490546</v>
      </c>
      <c r="Y74" s="308">
        <v>32</v>
      </c>
      <c r="Z74" s="309">
        <v>32</v>
      </c>
      <c r="AA74" s="310">
        <v>8</v>
      </c>
      <c r="AB74" s="198">
        <f t="shared" si="9"/>
        <v>0.11199999999999999</v>
      </c>
      <c r="AC74" s="228">
        <f t="shared" si="7"/>
        <v>0</v>
      </c>
      <c r="AD74" s="10"/>
    </row>
    <row r="75" spans="1:30" ht="14.45" customHeight="1">
      <c r="A75" s="99">
        <v>56</v>
      </c>
      <c r="B75" s="14" t="s">
        <v>60</v>
      </c>
      <c r="E75" s="26"/>
      <c r="G75" s="60" t="s">
        <v>176</v>
      </c>
      <c r="H75" s="245" t="str">
        <f>IF(OR(K31=1,K31=3),IF(F29="Da","G","E"),"F")</f>
        <v>E</v>
      </c>
      <c r="I75" s="300" t="str">
        <f>K10</f>
        <v>Var. II</v>
      </c>
      <c r="J75" s="359" t="str">
        <f>"KS"&amp;IF(K28="P",IF(OR(K30&amp;K31="44",K30&amp;K31="84"),"SOS",K30&amp;K31),IF(K30=1,"SOS",K30&amp;K31))&amp;"-"&amp;IF(OR(K35="SOS",K37="SOS"),"SOS",K35&amp;K37)&amp;"-"&amp;K52</f>
        <v>KS63-phUh-1T30</v>
      </c>
      <c r="K75" s="360"/>
      <c r="L75" s="361"/>
      <c r="O75" s="334">
        <v>6</v>
      </c>
      <c r="P75" s="109">
        <f t="shared" si="8"/>
        <v>0.35393468323971872</v>
      </c>
      <c r="Q75" s="110">
        <f>IF(P75=0,0,2*(INT((P75-AA$36-IF(AA$25=90,0,IF(AA$23=1,AA$28,0)))/(IF(AA$25=90,1,2)*AA$28))+1)+IF(AA$25=90,1,IF(AA$23=1,1,0)))</f>
        <v>33</v>
      </c>
      <c r="R75" s="111">
        <f>IF(P75=0,0,2*(INT((P75-IF(O$68="Br.kol.",AA$36,AA$35)-IF(AA$25=90,0,IF(AA$23=1,IF(O$68="Br.kol.",AA$28,AA$27),0)))/(IF(AA$25=90,1,2)*IF(O$68="Br.kol.",AA$28,AA$27)))+1)+IF(AA$25=90,1,IF(AA$23=1,1,0)))</f>
        <v>33</v>
      </c>
      <c r="S75" s="112">
        <f>IF(P75=0,0,2*(INT((P75-AA$36-IF(AA$25=90,0,IF(AA$23=1,AA$28,0)))/(IF(AA$25=90,1,2)*AA$28))+1))</f>
        <v>32</v>
      </c>
      <c r="T75" s="110">
        <f>IF(P75=0,0,2*(INT((P75-AA$36-IF(AA$25=90,0,IF(AA$23=1,AA$28,0))-IF(P75&lt;=AA$36+(Q$62-1)*AA$28,2*AA$28,2*AA$32+AA$28))/(IF(AA$25=90,1,2)*AA$28))+2)+IF(AA$25=90,1,IF(AA$23=1,1,0)))</f>
        <v>31</v>
      </c>
      <c r="U75" s="112">
        <f>IF(P75=0,0,IF(U$71&gt;=T75,T75,U$71))</f>
        <v>9</v>
      </c>
      <c r="V75" s="55">
        <f t="shared" si="10"/>
        <v>30</v>
      </c>
      <c r="W75" s="123">
        <f>IF(P75=0,0,IF(W$71&lt;V75/2,W$71,V75/2))</f>
        <v>6</v>
      </c>
      <c r="X75" s="191">
        <f t="shared" si="11"/>
        <v>8.3948311050453288</v>
      </c>
      <c r="Y75" s="308">
        <v>33</v>
      </c>
      <c r="Z75" s="309">
        <v>31</v>
      </c>
      <c r="AA75" s="310">
        <v>9</v>
      </c>
      <c r="AB75" s="198">
        <f t="shared" si="9"/>
        <v>0.13100000000000001</v>
      </c>
      <c r="AC75" s="228">
        <f t="shared" si="7"/>
        <v>0</v>
      </c>
      <c r="AD75" s="10"/>
    </row>
    <row r="76" spans="1:30" ht="14.45" customHeight="1">
      <c r="A76" s="99">
        <v>56</v>
      </c>
      <c r="B76" s="14" t="s">
        <v>60</v>
      </c>
      <c r="G76" s="60" t="s">
        <v>176</v>
      </c>
      <c r="H76" s="245" t="str">
        <f>IF(OR(L31=1,L31=3),IF(F29="Da","G","E"),"F")</f>
        <v>F</v>
      </c>
      <c r="I76" s="300" t="str">
        <f>L10</f>
        <v>Var. III</v>
      </c>
      <c r="J76" s="359" t="str">
        <f>"KS"&amp;L32&amp;"-"&amp;L38&amp;"-"&amp;L52</f>
        <v>KS44-uhUh-2T60</v>
      </c>
      <c r="K76" s="360"/>
      <c r="L76" s="361"/>
      <c r="O76" s="334">
        <v>7</v>
      </c>
      <c r="P76" s="109">
        <f t="shared" si="8"/>
        <v>0.34631020776176957</v>
      </c>
      <c r="Q76" s="110">
        <f>IF(P76=0,0,2*(INT((P76-AA$36-IF(AA$25=90,0,IF(AA$23=1,0,AA$28)))/(IF(AA$25=90,1,2)*AA$28))+1)+IF(AA$25=90,1,IF(AA$23=1,0,1)))</f>
        <v>32</v>
      </c>
      <c r="R76" s="111">
        <f>IF(P76=0,0,2*(INT((P76-IF(O$68="Br.kol.",AA$36,AA$35)-IF(AA$25=90,0,IF(AA$23=1,0,IF(O$68="Br.kol.",AA$28,AA$27))))/(IF(AA$25=90,1,2)*IF(O$68="Br.kol.",AA$28,AA$27)))+1)+IF(AA$25=90,1,IF(AA$23=1,0,1)))</f>
        <v>32</v>
      </c>
      <c r="S76" s="112">
        <f>IF(P76=0,0,2*(INT((P76-AA$36-IF(AA$25=90,0,IF(AA$23=1,0,AA$28)))/(IF(AA$25=90,1,2)*AA$28))+1))</f>
        <v>32</v>
      </c>
      <c r="T76" s="110">
        <f>IF(P76=0,0,2*(INT((P76-AA$36-IF(AA$25=90,0,IF(AA$23=1,0,AA$28))-IF(P76&lt;=AA$36+(Q$62-1)*AA$28,2*AA$28,2*AA$32+AA$28))/(IF(AA$25=90,1,2)*AA$28))+2)+IF(AA$25=90,1,IF(AA$23=1,0,1)))</f>
        <v>30</v>
      </c>
      <c r="U76" s="112">
        <f>IF(P76=0,0,IF(U$70&gt;=T76,T76,U$70))</f>
        <v>8</v>
      </c>
      <c r="V76" s="55">
        <f t="shared" si="10"/>
        <v>28</v>
      </c>
      <c r="W76" s="123">
        <f>IF(P76=0,0,IF(W$70&lt;V76/2,W$70,V76/2))</f>
        <v>6</v>
      </c>
      <c r="X76" s="191">
        <f t="shared" si="11"/>
        <v>8.2207917032050482</v>
      </c>
      <c r="Y76" s="308">
        <v>32</v>
      </c>
      <c r="Z76" s="309">
        <v>30</v>
      </c>
      <c r="AA76" s="310">
        <v>8</v>
      </c>
      <c r="AB76" s="198">
        <f t="shared" si="9"/>
        <v>0.15</v>
      </c>
      <c r="AC76" s="228">
        <f t="shared" si="7"/>
        <v>0</v>
      </c>
      <c r="AD76" s="10"/>
    </row>
    <row r="77" spans="1:30" ht="14.45" customHeight="1">
      <c r="I77" s="56" t="s">
        <v>207</v>
      </c>
      <c r="O77" s="334">
        <v>8</v>
      </c>
      <c r="P77" s="109">
        <f t="shared" si="8"/>
        <v>0.33744593641056048</v>
      </c>
      <c r="Q77" s="110">
        <f>IF(P77=0,0,2*(INT((P77-AA$36-IF(AA$25=90,0,IF(AA$23=1,AA$28,0)))/(IF(AA$25=90,1,2)*AA$28))+1)+IF(AA$25=90,1,IF(AA$23=1,1,0)))</f>
        <v>31</v>
      </c>
      <c r="R77" s="111">
        <f>IF(P77=0,0,2*(INT((P77-IF(O$68="Br.kol.",AA$36,AA$35)-IF(AA$25=90,0,IF(AA$23=1,IF(O$68="Br.kol.",AA$28,AA$27),0)))/(IF(AA$25=90,1,2)*IF(O$68="Br.kol.",AA$28,AA$27)))+1)+IF(AA$25=90,1,IF(AA$23=1,1,0)))</f>
        <v>31</v>
      </c>
      <c r="S77" s="112">
        <f>IF(P77=0,0,2*(INT((P77-AA$36-IF(AA$25=90,0,IF(AA$23=1,AA$28,0)))/(IF(AA$25=90,1,2)*AA$28))+1))</f>
        <v>30</v>
      </c>
      <c r="T77" s="110">
        <f>IF(P77=0,0,2*(INT((P77-AA$36-IF(AA$25=90,0,IF(AA$23=1,AA$28,0))-IF(P77&lt;=AA$36+(Q$62-1)*AA$28,2*AA$28,2*AA$32+AA$28))/(IF(AA$25=90,1,2)*AA$28))+2)+IF(AA$25=90,1,IF(AA$23=1,1,0)))</f>
        <v>29</v>
      </c>
      <c r="U77" s="112">
        <f>IF(P77=0,0,IF(U$71&gt;=T77,T77,U$71))</f>
        <v>9</v>
      </c>
      <c r="V77" s="55">
        <f t="shared" si="10"/>
        <v>28</v>
      </c>
      <c r="W77" s="123">
        <f>IF(P77=0,0,IF(W$71&lt;V77/2,W$71,V77/2))</f>
        <v>6</v>
      </c>
      <c r="X77" s="191">
        <f t="shared" si="11"/>
        <v>8.040301527928218</v>
      </c>
      <c r="Y77" s="308">
        <v>31</v>
      </c>
      <c r="Z77" s="309">
        <v>29</v>
      </c>
      <c r="AA77" s="310">
        <v>9</v>
      </c>
      <c r="AB77" s="198">
        <f t="shared" si="9"/>
        <v>0.16900000000000001</v>
      </c>
      <c r="AC77" s="228">
        <f t="shared" si="7"/>
        <v>0</v>
      </c>
      <c r="AD77" s="10"/>
    </row>
    <row r="78" spans="1:30" ht="14.45" customHeight="1">
      <c r="A78" s="99">
        <v>57</v>
      </c>
      <c r="B78" s="14" t="s">
        <v>161</v>
      </c>
      <c r="C78" s="31"/>
      <c r="D78" s="27"/>
      <c r="E78" s="27"/>
      <c r="F78" s="26"/>
      <c r="G78" s="42"/>
      <c r="H78" s="100" t="s">
        <v>204</v>
      </c>
      <c r="I78" s="293" t="s">
        <v>54</v>
      </c>
      <c r="J78" s="76">
        <f>IF(J19&lt;0.3,0.005,ROUND((0.005*J19+0.0125)/2,3))</f>
        <v>8.0000000000000002E-3</v>
      </c>
      <c r="K78" s="76">
        <f>IF(K19&lt;0.3,0.005,ROUND((0.005*K19+0.0125)/2,3))</f>
        <v>8.0000000000000002E-3</v>
      </c>
      <c r="L78" s="76">
        <f>IF(L19&lt;0.3,0.005,ROUND((0.005*L19+0.0125)/2,3))</f>
        <v>8.0000000000000002E-3</v>
      </c>
      <c r="O78" s="334">
        <v>9</v>
      </c>
      <c r="P78" s="109">
        <f t="shared" si="8"/>
        <v>0.32724113433368979</v>
      </c>
      <c r="Q78" s="110">
        <f>IF(P78=0,0,2*(INT((P78-AA$36-IF(AA$25=90,0,IF(AA$23=1,0,AA$28)))/(IF(AA$25=90,1,2)*AA$28))+1)+IF(AA$25=90,1,IF(AA$23=1,0,1)))</f>
        <v>30</v>
      </c>
      <c r="R78" s="111">
        <f>IF(P78=0,0,2*(INT((P78-IF(O$68="Br.kol.",AA$36,AA$35)-IF(AA$25=90,0,IF(AA$23=1,0,IF(O$68="Br.kol.",AA$28,AA$27))))/(IF(AA$25=90,1,2)*IF(O$68="Br.kol.",AA$28,AA$27)))+1)+IF(AA$25=90,1,IF(AA$23=1,0,1)))</f>
        <v>30</v>
      </c>
      <c r="S78" s="112">
        <f>IF(P78=0,0,2*(INT((P78-AA$36-IF(AA$25=90,0,IF(AA$23=1,0,AA$28)))/(IF(AA$25=90,1,2)*AA$28))+1))</f>
        <v>30</v>
      </c>
      <c r="T78" s="110">
        <f>IF(P78=0,0,2*(INT((P78-AA$36-IF(AA$25=90,0,IF(AA$23=1,0,AA$28))-IF(P78&lt;=AA$36+(Q$62-1)*AA$28,2*AA$28,2*AA$32+AA$28))/(IF(AA$25=90,1,2)*AA$28))+2)+IF(AA$25=90,1,IF(AA$23=1,0,1)))</f>
        <v>28</v>
      </c>
      <c r="U78" s="112">
        <f>IF(P78=0,0,IF(U$70&gt;=T78,T78,U$70))</f>
        <v>8</v>
      </c>
      <c r="V78" s="55">
        <f t="shared" si="10"/>
        <v>28</v>
      </c>
      <c r="W78" s="123">
        <f>IF(P78=0,0,IF(W$70&lt;V78/2,W$70,V78/2))</f>
        <v>6</v>
      </c>
      <c r="X78" s="191">
        <f t="shared" si="11"/>
        <v>7.8533605792148347</v>
      </c>
      <c r="Y78" s="308">
        <v>30</v>
      </c>
      <c r="Z78" s="309">
        <v>28</v>
      </c>
      <c r="AA78" s="310">
        <v>8</v>
      </c>
      <c r="AB78" s="198">
        <f t="shared" si="9"/>
        <v>0.188</v>
      </c>
      <c r="AC78" s="228">
        <f t="shared" si="7"/>
        <v>14</v>
      </c>
      <c r="AD78" s="10"/>
    </row>
    <row r="79" spans="1:30" ht="14.45" customHeight="1">
      <c r="A79" s="99">
        <v>58</v>
      </c>
      <c r="B79" s="14" t="s">
        <v>180</v>
      </c>
      <c r="I79" s="293" t="s">
        <v>54</v>
      </c>
      <c r="J79" s="94">
        <v>8.0000000000000002E-3</v>
      </c>
      <c r="K79" s="94">
        <v>8.0000000000000002E-3</v>
      </c>
      <c r="L79" s="94">
        <v>8.0000000000000002E-3</v>
      </c>
      <c r="O79" s="335">
        <v>10</v>
      </c>
      <c r="P79" s="113">
        <f t="shared" si="8"/>
        <v>0.31556577761221194</v>
      </c>
      <c r="Q79" s="152">
        <f>IF(P79=0,0,2*(INT((P79-AA$36-IF(AA$25=90,0,IF(AA$23=1,AA$28,0)))/(IF(AA$25=90,1,2)*AA$28))+1)+IF(AA$25=90,1,IF(AA$23=1,1,0)))</f>
        <v>29</v>
      </c>
      <c r="R79" s="115">
        <f>IF(P79=0,0,2*(INT((P79-IF(O$68="Br.kol.",AA$36,AA$35)-IF(AA$25=90,0,IF(AA$23=1,IF(O$68="Br.kol.",AA$28,AA$27),0)))/(IF(AA$25=90,1,2)*IF(O$68="Br.kol.",AA$28,AA$27)))+1)+IF(AA$25=90,1,IF(AA$23=1,1,0)))</f>
        <v>29</v>
      </c>
      <c r="S79" s="132">
        <f>IF(P79=0,0,2*(INT((P79-AA$36-IF(AA$25=90,0,IF(AA$23=1,AA$28,0)))/(IF(AA$25=90,1,2)*AA$28))+1))</f>
        <v>28</v>
      </c>
      <c r="T79" s="114">
        <f>IF(P79=0,0,2*(INT((P79-AA$36-IF(AA$25=90,0,IF(AA$23=1,AA$28,0))-IF(P79&lt;=AA$36+(Q$62-1)*AA$28,2*AA$28,2*AA$32+AA$28))/(IF(AA$25=90,1,2)*AA$28))+2)+IF(AA$25=90,1,IF(AA$23=1,1,0)))</f>
        <v>27</v>
      </c>
      <c r="U79" s="132">
        <f>IF(P79=0,0,IF(U$71&gt;=T79,T79,U$71))</f>
        <v>9</v>
      </c>
      <c r="V79" s="152">
        <f t="shared" si="10"/>
        <v>26</v>
      </c>
      <c r="W79" s="113">
        <f>IF(P79=0,0,IF(W$71&lt;V79/2,W$71,V79/2))</f>
        <v>6</v>
      </c>
      <c r="X79" s="196">
        <f t="shared" si="11"/>
        <v>7.6599688570649</v>
      </c>
      <c r="Y79" s="305">
        <v>29</v>
      </c>
      <c r="Z79" s="306">
        <v>27</v>
      </c>
      <c r="AA79" s="307">
        <v>9</v>
      </c>
      <c r="AB79" s="200">
        <f t="shared" si="9"/>
        <v>0.20699999999999999</v>
      </c>
      <c r="AC79" s="229">
        <f t="shared" si="7"/>
        <v>27</v>
      </c>
      <c r="AD79" s="10"/>
    </row>
    <row r="80" spans="1:30" ht="14.45" customHeight="1">
      <c r="A80" s="99">
        <v>59</v>
      </c>
      <c r="B80" s="14" t="s">
        <v>163</v>
      </c>
      <c r="C80" s="41"/>
      <c r="D80" s="25"/>
      <c r="E80" s="25"/>
      <c r="F80" s="25"/>
      <c r="H80" s="65" t="s">
        <v>205</v>
      </c>
      <c r="I80" s="289" t="s">
        <v>164</v>
      </c>
      <c r="J80" s="75">
        <f>J19-2*J79</f>
        <v>0.77200000000000002</v>
      </c>
      <c r="K80" s="75">
        <f>K19-2*K79</f>
        <v>0.77200000000000002</v>
      </c>
      <c r="L80" s="75">
        <f>L19-2*L79</f>
        <v>0.77200000000000002</v>
      </c>
      <c r="O80" s="336">
        <v>11</v>
      </c>
      <c r="P80" s="109">
        <f t="shared" si="8"/>
        <v>0.30224949958602082</v>
      </c>
      <c r="Q80" s="110">
        <f>IF(P80=0,0,2*(INT((P80-AA$36-IF(AA$25=90,0,IF(AA$23=1,0,AA$28)))/(IF(AA$25=90,1,2)*AA$28))+1)+IF(AA$25=90,1,IF(AA$23=1,0,1)))</f>
        <v>28</v>
      </c>
      <c r="R80" s="111">
        <f>IF(P80=0,0,2*(INT((P80-IF(O$68="Br.kol.",AA$36,AA$35)-IF(AA$25=90,0,IF(AA$23=1,0,IF(O$68="Br.kol.",AA$28,AA$27))))/(IF(AA$25=90,1,2)*IF(O$68="Br.kol.",AA$28,AA$27)))+1)+IF(AA$25=90,1,IF(AA$23=1,0,1)))</f>
        <v>28</v>
      </c>
      <c r="S80" s="112">
        <f>IF(P80=0,0,2*(INT((P80-AA$36-IF(AA$25=90,0,IF(AA$23=1,0,AA$28)))/(IF(AA$25=90,1,2)*AA$28))+1))</f>
        <v>28</v>
      </c>
      <c r="T80" s="110">
        <f>IF(P80=0,0,2*(INT((P80-AA$36-IF(AA$25=90,0,IF(AA$23=1,0,AA$28))-IF(P80&lt;=AA$36+(Q$62-1)*AA$28,2*AA$28,2*AA$32+AA$28))/(IF(AA$25=90,1,2)*AA$28))+2)+IF(AA$25=90,1,IF(AA$23=1,0,1)))</f>
        <v>26</v>
      </c>
      <c r="U80" s="112">
        <f>IF(P80=0,0,IF(U$70&gt;=T80,T80,U$70))</f>
        <v>8</v>
      </c>
      <c r="V80" s="55">
        <f t="shared" si="10"/>
        <v>24</v>
      </c>
      <c r="W80" s="123">
        <f>IF(P80=0,0,IF(W$70&lt;V80/2,W$70,V80/2))</f>
        <v>6</v>
      </c>
      <c r="X80" s="191">
        <f>IF(S$61=6,Z80,IF(S$61=8,Z80,Y80))*AA$12*PI()*(2*X$65+IF(AA$18="P",0,PI()*AB80))</f>
        <v>7.4601263614784141</v>
      </c>
      <c r="Y80" s="308">
        <v>28</v>
      </c>
      <c r="Z80" s="309">
        <v>26</v>
      </c>
      <c r="AA80" s="310">
        <v>8</v>
      </c>
      <c r="AB80" s="198">
        <f t="shared" si="9"/>
        <v>0.22600000000000001</v>
      </c>
      <c r="AC80" s="228">
        <f t="shared" si="7"/>
        <v>26</v>
      </c>
      <c r="AD80" s="10"/>
    </row>
    <row r="81" spans="1:30" ht="14.45" customHeight="1">
      <c r="A81" s="99">
        <v>60</v>
      </c>
      <c r="B81" s="14" t="s">
        <v>165</v>
      </c>
      <c r="H81" s="65" t="s">
        <v>206</v>
      </c>
      <c r="I81" s="289" t="s">
        <v>162</v>
      </c>
      <c r="J81" s="75">
        <f>J80-J24</f>
        <v>0.75600000000000001</v>
      </c>
      <c r="K81" s="75">
        <f>K80-K24</f>
        <v>0.75480000000000003</v>
      </c>
      <c r="L81" s="75">
        <f>L80-L24</f>
        <v>0.752</v>
      </c>
      <c r="O81" s="334">
        <v>12</v>
      </c>
      <c r="P81" s="109">
        <f t="shared" si="8"/>
        <v>0.28706403466822522</v>
      </c>
      <c r="Q81" s="110">
        <f>IF(P81=0,0,2*(INT((P81-AA$36-IF(AA$25=90,0,IF(AA$23=1,AA$28,0)))/(IF(AA$25=90,1,2)*AA$28))+1)+IF(AA$25=90,1,IF(AA$23=1,1,0)))</f>
        <v>27</v>
      </c>
      <c r="R81" s="111">
        <f>IF(P81=0,0,2*(INT((P81-IF(O$68="Br.kol.",AA$36,AA$35)-IF(AA$25=90,0,IF(AA$23=1,IF(O$68="Br.kol.",AA$28,AA$27),0)))/(IF(AA$25=90,1,2)*IF(O$68="Br.kol.",AA$28,AA$27)))+1)+IF(AA$25=90,1,IF(AA$23=1,1,0)))</f>
        <v>27</v>
      </c>
      <c r="S81" s="112">
        <f>IF(P81=0,0,2*(INT((P81-AA$36-IF(AA$25=90,0,IF(AA$23=1,AA$28,0)))/(IF(AA$25=90,1,2)*AA$28))+1))</f>
        <v>26</v>
      </c>
      <c r="T81" s="110">
        <f>IF(P81=0,0,2*(INT((P81-AA$36-IF(AA$25=90,0,IF(AA$23=1,AA$28,0))-IF(P81&lt;=AA$36+(Q$62-1)*AA$28,2*AA$28,2*AA$32+AA$28))/(IF(AA$25=90,1,2)*AA$28))+2)+IF(AA$25=90,1,IF(AA$23=1,1,0)))</f>
        <v>25</v>
      </c>
      <c r="U81" s="112">
        <f>IF(P81=0,0,IF(U$71&gt;=T81,T81,U$71))</f>
        <v>9</v>
      </c>
      <c r="V81" s="55">
        <f t="shared" si="10"/>
        <v>24</v>
      </c>
      <c r="W81" s="123">
        <f>IF(P81=0,0,IF(W$71&lt;V81/2,W$71,V81/2))</f>
        <v>6</v>
      </c>
      <c r="X81" s="191">
        <f>IF(S$61=6,Z81,IF(S$61=8,Z81,Y81))*AA$12*PI()*(2*X$65+IF(AA$18="P",0,PI()*AB81))</f>
        <v>7.2538330924553742</v>
      </c>
      <c r="Y81" s="308">
        <v>27</v>
      </c>
      <c r="Z81" s="309">
        <v>25</v>
      </c>
      <c r="AA81" s="310">
        <v>9</v>
      </c>
      <c r="AB81" s="198">
        <f t="shared" si="9"/>
        <v>0.245</v>
      </c>
      <c r="AC81" s="228">
        <f t="shared" si="7"/>
        <v>25</v>
      </c>
      <c r="AD81" s="10"/>
    </row>
    <row r="82" spans="1:30" ht="14.45" customHeight="1">
      <c r="A82" s="99">
        <v>61</v>
      </c>
      <c r="B82" s="14" t="s">
        <v>58</v>
      </c>
      <c r="F82" s="58" t="s">
        <v>209</v>
      </c>
      <c r="H82" s="58" t="s">
        <v>208</v>
      </c>
      <c r="I82" s="289" t="s">
        <v>59</v>
      </c>
      <c r="J82" s="76">
        <f>ROUND(IF(J42=90,4,8)*J46*J45/(J24*PI())-J24,3)</f>
        <v>1.4999999999999999E-2</v>
      </c>
      <c r="K82" s="76">
        <f>ROUND(IF(K42=90,4,8)*K46*K45/(K24*PI())-K24,3)</f>
        <v>1.4E-2</v>
      </c>
      <c r="L82" s="76">
        <f>ROUND(IF(L42=90,4,8)*L46*L45/(L24*PI())-L24,3)</f>
        <v>1.6E-2</v>
      </c>
      <c r="O82" s="334">
        <v>13</v>
      </c>
      <c r="P82" s="109">
        <f t="shared" si="8"/>
        <v>0.26969382640320122</v>
      </c>
      <c r="Q82" s="110">
        <f>IF(P82=0,0,2*(INT((P82-AA$36-IF(AA$25=90,0,IF(AA$23=1,0,AA$28)))/(IF(AA$25=90,1,2)*AA$28))+1)+IF(AA$25=90,1,IF(AA$23=1,0,1)))</f>
        <v>24</v>
      </c>
      <c r="R82" s="111">
        <f>IF(P82=0,0,2*(INT((P82-IF(O$68="Br.kol.",AA$36,AA$35)-IF(AA$25=90,0,IF(AA$23=1,0,IF(O$68="Br.kol.",AA$28,AA$27))))/(IF(AA$25=90,1,2)*IF(O$68="Br.kol.",AA$28,AA$27)))+1)+IF(AA$25=90,1,IF(AA$23=1,0,1)))</f>
        <v>24</v>
      </c>
      <c r="S82" s="112">
        <f>IF(P82=0,0,2*(INT((P82-AA$36-IF(AA$25=90,0,IF(AA$23=1,0,AA$28)))/(IF(AA$25=90,1,2)*AA$28))+1))</f>
        <v>24</v>
      </c>
      <c r="T82" s="110">
        <f>IF(P82=0,0,2*(INT((P82-AA$36-IF(AA$25=90,0,IF(AA$23=1,0,AA$28))-IF(P82&lt;=AA$36+(Q$62-1)*AA$28,2*AA$28,2*AA$32+AA$28))/(IF(AA$25=90,1,2)*AA$28))+2)+IF(AA$25=90,1,IF(AA$23=1,0,1)))</f>
        <v>22</v>
      </c>
      <c r="U82" s="112">
        <f>IF(P82=0,0,IF(U$70&gt;=T82,T82,U$70))</f>
        <v>8</v>
      </c>
      <c r="V82" s="55">
        <f t="shared" si="10"/>
        <v>22</v>
      </c>
      <c r="W82" s="123">
        <f>IF(P82=0,0,IF(W$70&lt;V82/2,W$70,V82/2))</f>
        <v>6</v>
      </c>
      <c r="X82" s="191">
        <f t="shared" ref="X82:X87" si="12">IF(S$61=6,Z82,IF(S$61=8,Z82,Y82))*AA$12*PI()*(2*X$65+IF(AA$18="P",0,PI()*AB82))</f>
        <v>6.4543316291628017</v>
      </c>
      <c r="Y82" s="308">
        <v>24</v>
      </c>
      <c r="Z82" s="309">
        <v>22</v>
      </c>
      <c r="AA82" s="310">
        <v>8</v>
      </c>
      <c r="AB82" s="198">
        <f t="shared" si="9"/>
        <v>0.26399999999999996</v>
      </c>
      <c r="AC82" s="228">
        <f t="shared" si="7"/>
        <v>22</v>
      </c>
      <c r="AD82" s="10"/>
    </row>
    <row r="83" spans="1:30" ht="14.45" customHeight="1">
      <c r="I83" s="56" t="s">
        <v>280</v>
      </c>
      <c r="O83" s="334">
        <v>14</v>
      </c>
      <c r="P83" s="109">
        <f t="shared" si="8"/>
        <v>0.24968331942682923</v>
      </c>
      <c r="Q83" s="110">
        <f>IF(P83=0,0,2*(INT((P83-AA$36-IF(AA$25=90,0,IF(AA$23=1,AA$28,0)))/(IF(AA$25=90,1,2)*AA$28))+1)+IF(AA$25=90,1,IF(AA$23=1,1,0)))</f>
        <v>23</v>
      </c>
      <c r="R83" s="111">
        <f>IF(P83=0,0,2*(INT((P83-IF(O$68="Br.kol.",AA$36,AA$35)-IF(AA$25=90,0,IF(AA$23=1,IF(O$68="Br.kol.",AA$28,AA$27),0)))/(IF(AA$25=90,1,2)*IF(O$68="Br.kol.",AA$28,AA$27)))+1)+IF(AA$25=90,1,IF(AA$23=1,1,0)))</f>
        <v>23</v>
      </c>
      <c r="S83" s="112">
        <f>IF(P83=0,0,2*(INT((P83-AA$36-IF(AA$25=90,0,IF(AA$23=1,AA$28,0)))/(IF(AA$25=90,1,2)*AA$28))+1))</f>
        <v>22</v>
      </c>
      <c r="T83" s="110">
        <f>IF(P83=0,0,2*(INT((P83-AA$36-IF(AA$25=90,0,IF(AA$23=1,AA$28,0))-IF(P83&lt;=AA$36+(Q$62-1)*AA$28,2*AA$28,2*AA$32+AA$28))/(IF(AA$25=90,1,2)*AA$28))+2)+IF(AA$25=90,1,IF(AA$23=1,1,0)))</f>
        <v>21</v>
      </c>
      <c r="U83" s="112">
        <f>IF(P83=0,0,IF(U$71&gt;=T83,T83,U$71))</f>
        <v>9</v>
      </c>
      <c r="V83" s="55">
        <f t="shared" si="10"/>
        <v>20</v>
      </c>
      <c r="W83" s="123">
        <f>IF(P83=0,0,IF(W$71&lt;V83/2,W$71,V83/2))</f>
        <v>6</v>
      </c>
      <c r="X83" s="191">
        <f t="shared" si="12"/>
        <v>6.228686039830106</v>
      </c>
      <c r="Y83" s="308">
        <v>23</v>
      </c>
      <c r="Z83" s="309">
        <v>21</v>
      </c>
      <c r="AA83" s="310">
        <v>9</v>
      </c>
      <c r="AB83" s="198">
        <f t="shared" si="9"/>
        <v>0.28299999999999997</v>
      </c>
      <c r="AC83" s="228">
        <f t="shared" si="7"/>
        <v>21</v>
      </c>
      <c r="AD83" s="10"/>
    </row>
    <row r="84" spans="1:30" ht="14.45" customHeight="1">
      <c r="A84" s="99">
        <v>62</v>
      </c>
      <c r="B84" s="14" t="s">
        <v>281</v>
      </c>
      <c r="C84" s="41"/>
      <c r="D84" s="25"/>
      <c r="E84" s="25"/>
      <c r="F84" s="25"/>
      <c r="H84" s="65" t="s">
        <v>282</v>
      </c>
      <c r="I84" s="289" t="s">
        <v>297</v>
      </c>
      <c r="J84" s="344">
        <v>6</v>
      </c>
      <c r="K84" s="344">
        <f>6/1</f>
        <v>6</v>
      </c>
      <c r="L84" s="344">
        <f>6/1</f>
        <v>6</v>
      </c>
      <c r="O84" s="334">
        <v>15</v>
      </c>
      <c r="P84" s="109">
        <f t="shared" si="8"/>
        <v>0.22633329405988864</v>
      </c>
      <c r="Q84" s="110">
        <f>IF(P84=0,0,2*(INT((P84-AA$36-IF(AA$25=90,0,IF(AA$23=1,0,AA$28)))/(IF(AA$25=90,1,2)*AA$28))+1)+IF(AA$25=90,1,IF(AA$23=1,0,1)))</f>
        <v>20</v>
      </c>
      <c r="R84" s="111">
        <f>IF(P84=0,0,2*(INT((P84-IF(O$68="Br.kol.",AA$36,AA$35)-IF(AA$25=90,0,IF(AA$23=1,0,IF(O$68="Br.kol.",AA$28,AA$27))))/(IF(AA$25=90,1,2)*IF(O$68="Br.kol.",AA$28,AA$27)))+1)+IF(AA$25=90,1,IF(AA$23=1,0,1)))</f>
        <v>20</v>
      </c>
      <c r="S84" s="112">
        <f>IF(P84=0,0,2*(INT((P84-AA$36-IF(AA$25=90,0,IF(AA$23=1,0,AA$28)))/(IF(AA$25=90,1,2)*AA$28))+1))</f>
        <v>20</v>
      </c>
      <c r="T84" s="110">
        <f>IF(P84=0,0,2*(INT((P84-AA$36-IF(AA$25=90,0,IF(AA$23=1,0,AA$28))-IF(P84&lt;=AA$36+(Q$62-1)*AA$28,2*AA$28,2*AA$32+AA$28))/(IF(AA$25=90,1,2)*AA$28))+2)+IF(AA$25=90,1,IF(AA$23=1,0,1)))</f>
        <v>18</v>
      </c>
      <c r="U84" s="112">
        <f>IF(P84=0,0,IF(U$70&gt;=T84,T84,U$70))</f>
        <v>8</v>
      </c>
      <c r="V84" s="55">
        <f t="shared" si="10"/>
        <v>18</v>
      </c>
      <c r="W84" s="123">
        <f>IF(P84=0,0,IF(W$70&lt;V84/2,W$70,V84/2))</f>
        <v>6</v>
      </c>
      <c r="X84" s="191">
        <f t="shared" si="12"/>
        <v>5.3969307093547734</v>
      </c>
      <c r="Y84" s="308">
        <v>20</v>
      </c>
      <c r="Z84" s="309">
        <v>18</v>
      </c>
      <c r="AA84" s="310">
        <v>8</v>
      </c>
      <c r="AB84" s="198">
        <f t="shared" si="9"/>
        <v>0.30199999999999999</v>
      </c>
      <c r="AC84" s="228">
        <f t="shared" si="7"/>
        <v>18</v>
      </c>
      <c r="AD84" s="10"/>
    </row>
    <row r="85" spans="1:30" ht="14.45" customHeight="1">
      <c r="A85" s="99">
        <v>63</v>
      </c>
      <c r="B85" s="14" t="s">
        <v>285</v>
      </c>
      <c r="H85" s="65" t="s">
        <v>284</v>
      </c>
      <c r="I85" s="289" t="s">
        <v>288</v>
      </c>
      <c r="J85" s="238">
        <v>5.86</v>
      </c>
      <c r="K85" s="238">
        <v>2.3959999999999999</v>
      </c>
      <c r="L85" s="238">
        <v>2.3959999999999999</v>
      </c>
      <c r="O85" s="334">
        <v>16</v>
      </c>
      <c r="P85" s="109">
        <f t="shared" si="8"/>
        <v>0.19846853654924765</v>
      </c>
      <c r="Q85" s="110">
        <f>IF(P85=0,0,2*(INT((P85-AA$36-IF(AA$25=90,0,IF(AA$23=1,AA$28,0)))/(IF(AA$25=90,1,2)*AA$28))+1)+IF(AA$25=90,1,IF(AA$23=1,1,0)))</f>
        <v>19</v>
      </c>
      <c r="R85" s="111">
        <f>IF(P85=0,0,2*(INT((P85-IF(O$68="Br.kol.",AA$36,AA$35)-IF(AA$25=90,0,IF(AA$23=1,IF(O$68="Br.kol.",AA$28,AA$27),0)))/(IF(AA$25=90,1,2)*IF(O$68="Br.kol.",AA$28,AA$27)))+1)+IF(AA$25=90,1,IF(AA$23=1,1,0)))</f>
        <v>19</v>
      </c>
      <c r="S85" s="112">
        <f>IF(P85=0,0,2*(INT((P85-AA$36-IF(AA$25=90,0,IF(AA$23=1,AA$28,0)))/(IF(AA$25=90,1,2)*AA$28))+1))</f>
        <v>18</v>
      </c>
      <c r="T85" s="110">
        <f>IF(P85=0,0,2*(INT((P85-AA$36-IF(AA$25=90,0,IF(AA$23=1,AA$28,0))-IF(P85&lt;=AA$36+(Q$62-1)*AA$28,2*AA$28,2*AA$32+AA$28))/(IF(AA$25=90,1,2)*AA$28))+2)+IF(AA$25=90,1,IF(AA$23=1,1,0)))</f>
        <v>17</v>
      </c>
      <c r="U85" s="112">
        <f>IF(P85=0,0,IF(U$71&gt;=T85,T85,U$71))</f>
        <v>9</v>
      </c>
      <c r="V85" s="55">
        <f t="shared" si="10"/>
        <v>16</v>
      </c>
      <c r="W85" s="123">
        <f>IF(P85=0,0,IF(W$71&lt;V85/2,W$71,V85/2))</f>
        <v>6</v>
      </c>
      <c r="X85" s="191">
        <f t="shared" si="12"/>
        <v>5.151932799712422</v>
      </c>
      <c r="Y85" s="308">
        <v>19</v>
      </c>
      <c r="Z85" s="309">
        <v>17</v>
      </c>
      <c r="AA85" s="310">
        <v>9</v>
      </c>
      <c r="AB85" s="198">
        <f t="shared" si="9"/>
        <v>0.32099999999999995</v>
      </c>
      <c r="AC85" s="228">
        <f t="shared" si="7"/>
        <v>17</v>
      </c>
      <c r="AD85" s="10"/>
    </row>
    <row r="86" spans="1:30" ht="14.45" customHeight="1">
      <c r="A86" s="99">
        <v>64</v>
      </c>
      <c r="B86" s="14" t="s">
        <v>286</v>
      </c>
      <c r="D86"/>
      <c r="G86"/>
      <c r="H86" s="65" t="s">
        <v>287</v>
      </c>
      <c r="I86" s="289" t="s">
        <v>283</v>
      </c>
      <c r="J86" s="344">
        <v>5.8</v>
      </c>
      <c r="K86" s="344">
        <v>2.2999999999999998</v>
      </c>
      <c r="L86" s="344">
        <v>2.2999999999999998</v>
      </c>
      <c r="O86" s="334">
        <v>17</v>
      </c>
      <c r="P86" s="109">
        <f t="shared" si="8"/>
        <v>0.16380097679806441</v>
      </c>
      <c r="Q86" s="110">
        <f>IF(P86=0,0,2*(INT((P86-AA$36-IF(AA$25=90,0,IF(AA$23=1,0,AA$28)))/(IF(AA$25=90,1,2)*AA$28))+1)+IF(AA$25=90,1,IF(AA$23=1,0,1)))</f>
        <v>14</v>
      </c>
      <c r="R86" s="111">
        <f>IF(P86=0,0,2*(INT((P86-IF(O$68="Br.kol.",AA$36,AA$35)-IF(AA$25=90,0,IF(AA$23=1,0,IF(O$68="Br.kol.",AA$28,AA$27))))/(IF(AA$25=90,1,2)*IF(O$68="Br.kol.",AA$28,AA$27)))+1)+IF(AA$25=90,1,IF(AA$23=1,0,1)))</f>
        <v>14</v>
      </c>
      <c r="S86" s="112">
        <f>IF(P86=0,0,2*(INT((P86-AA$36-IF(AA$25=90,0,IF(AA$23=1,0,AA$28)))/(IF(AA$25=90,1,2)*AA$28))+1))</f>
        <v>14</v>
      </c>
      <c r="T86" s="110">
        <f>IF(P86=0,0,2*(INT((P86-AA$36-IF(AA$25=90,0,IF(AA$23=1,0,AA$28))-IF(P86&lt;=AA$36+(Q$62-1)*AA$28,2*AA$28,2*AA$32+AA$28))/(IF(AA$25=90,1,2)*AA$28))+2)+IF(AA$25=90,1,IF(AA$23=1,0,1)))</f>
        <v>14</v>
      </c>
      <c r="U86" s="112">
        <f>IF(P86=0,0,IF(U$70&gt;=T86,T86,U$70))</f>
        <v>8</v>
      </c>
      <c r="V86" s="55">
        <f t="shared" si="10"/>
        <v>12</v>
      </c>
      <c r="W86" s="123">
        <f>IF(P86=0,0,IF(W$70&lt;V86/2,W$70,V86/2))</f>
        <v>6</v>
      </c>
      <c r="X86" s="191">
        <f t="shared" si="12"/>
        <v>4.2879236020543301</v>
      </c>
      <c r="Y86" s="308">
        <v>14</v>
      </c>
      <c r="Z86" s="309">
        <v>14</v>
      </c>
      <c r="AA86" s="310">
        <v>8</v>
      </c>
      <c r="AB86" s="198">
        <f t="shared" si="9"/>
        <v>0.33999999999999997</v>
      </c>
      <c r="AC86" s="228">
        <f t="shared" si="7"/>
        <v>14</v>
      </c>
      <c r="AD86" s="10"/>
    </row>
    <row r="87" spans="1:30" ht="14.45" customHeight="1">
      <c r="A87" s="99">
        <v>65</v>
      </c>
      <c r="B87" s="246" t="s">
        <v>314</v>
      </c>
      <c r="H87" s="65" t="s">
        <v>287</v>
      </c>
      <c r="I87" s="289" t="s">
        <v>278</v>
      </c>
      <c r="J87" s="344">
        <v>150</v>
      </c>
      <c r="K87" s="344">
        <v>150</v>
      </c>
      <c r="L87" s="344">
        <v>150</v>
      </c>
      <c r="O87" s="334">
        <v>18</v>
      </c>
      <c r="P87" s="109">
        <f t="shared" si="8"/>
        <v>0.11640343637539238</v>
      </c>
      <c r="Q87" s="110">
        <f>IF(P87=0,0,2*(INT((P87-AA$36-IF(AA$25=90,0,IF(AA$23=1,AA$28,0)))/(IF(AA$25=90,1,2)*AA$28))+1)+IF(AA$25=90,1,IF(AA$23=1,1,0)))</f>
        <v>11</v>
      </c>
      <c r="R87" s="111">
        <f>IF(P87=0,0,2*(INT((P87-IF(O$68="Br.kol.",AA$36,AA$35)-IF(AA$25=90,0,IF(AA$23=1,IF(O$68="Br.kol.",AA$28,AA$27),0)))/(IF(AA$25=90,1,2)*IF(O$68="Br.kol.",AA$28,AA$27)))+1)+IF(AA$25=90,1,IF(AA$23=1,1,0)))</f>
        <v>11</v>
      </c>
      <c r="S87" s="112">
        <f>IF(P87=0,0,2*(INT((P87-AA$36-IF(AA$25=90,0,IF(AA$23=1,AA$28,0)))/(IF(AA$25=90,1,2)*AA$28))+1))</f>
        <v>10</v>
      </c>
      <c r="T87" s="110">
        <f>IF(P87=0,0,2*(INT((P87-AA$36-IF(AA$25=90,0,IF(AA$23=1,AA$28,0))-IF(P87&lt;=AA$36+(Q$62-1)*AA$28,2*AA$28,2*AA$32+AA$28))/(IF(AA$25=90,1,2)*AA$28))+2)+IF(AA$25=90,1,IF(AA$23=1,1,0)))</f>
        <v>9</v>
      </c>
      <c r="U87" s="112">
        <f>IF(P87=0,0,IF(U$71&gt;=T87,T87,U$71))</f>
        <v>9</v>
      </c>
      <c r="V87" s="55">
        <f t="shared" si="10"/>
        <v>10</v>
      </c>
      <c r="W87" s="123">
        <f>IF(P87=0,0,IF(W$71&lt;V87/2,W$71,V87/2))</f>
        <v>5</v>
      </c>
      <c r="X87" s="191">
        <f t="shared" si="12"/>
        <v>2.7855507960708388</v>
      </c>
      <c r="Y87" s="308">
        <v>11</v>
      </c>
      <c r="Z87" s="309">
        <v>9</v>
      </c>
      <c r="AA87" s="310">
        <v>9</v>
      </c>
      <c r="AB87" s="198">
        <f t="shared" si="9"/>
        <v>0.35899999999999999</v>
      </c>
      <c r="AC87" s="228">
        <f t="shared" si="7"/>
        <v>9</v>
      </c>
      <c r="AD87" s="10"/>
    </row>
    <row r="88" spans="1:30" ht="14.45" customHeight="1">
      <c r="A88" s="99">
        <v>66</v>
      </c>
      <c r="B88" s="246" t="s">
        <v>315</v>
      </c>
      <c r="H88" s="65" t="s">
        <v>287</v>
      </c>
      <c r="I88" s="289" t="s">
        <v>278</v>
      </c>
      <c r="J88" s="344">
        <v>250</v>
      </c>
      <c r="K88" s="344">
        <v>250</v>
      </c>
      <c r="L88" s="344">
        <v>250</v>
      </c>
      <c r="O88" s="334">
        <v>19</v>
      </c>
      <c r="P88" s="109">
        <f t="shared" si="8"/>
        <v>0</v>
      </c>
      <c r="Q88" s="110">
        <f>IF(P88=0,0,2*(INT((P88-AA$36-IF(AA$25=90,0,IF(AA$23=1,0,AA$28)))/(IF(AA$25=90,1,2)*AA$28))+1)+IF(AA$25=90,1,IF(AA$23=1,0,1)))</f>
        <v>0</v>
      </c>
      <c r="R88" s="111">
        <f>IF(P88=0,0,2*(INT((P88-IF(O$68="Br.kol.",AA$36,AA$35)-IF(AA$25=90,0,IF(AA$23=1,0,IF(O$68="Br.kol.",AA$28,AA$27))))/(IF(AA$25=90,1,2)*IF(O$68="Br.kol.",AA$28,AA$27)))+1)+IF(AA$25=90,1,IF(AA$23=1,0,1)))</f>
        <v>0</v>
      </c>
      <c r="S88" s="112">
        <f>IF(P88=0,0,2*(INT((P88-AA$36-IF(AA$25=90,0,IF(AA$23=1,0,AA$28)))/(IF(AA$25=90,1,2)*AA$28))+1))</f>
        <v>0</v>
      </c>
      <c r="T88" s="110">
        <f>IF(P88=0,0,2*(INT((P88-AA$36-IF(AA$25=90,0,IF(AA$23=1,0,AA$28))-IF(P88&lt;=AA$36+(Q$62-1)*AA$28,2*AA$28,2*AA$32+AA$28))/(IF(AA$25=90,1,2)*AA$28))+2)+IF(AA$25=90,1,IF(AA$23=1,0,1)))</f>
        <v>0</v>
      </c>
      <c r="U88" s="112">
        <f>IF(P88=0,0,IF(U$70&gt;=T88,T88,U$70))</f>
        <v>0</v>
      </c>
      <c r="V88" s="55">
        <f t="shared" si="10"/>
        <v>0</v>
      </c>
      <c r="W88" s="123">
        <f>IF(P88=0,0,IF(W$70&lt;V88/2,W$70,V88/2))</f>
        <v>0</v>
      </c>
      <c r="X88" s="191">
        <f>IF(S$61=6,Z88,IF(S$61=8,Z88,Y88))*AA$12*PI()*(2*X$65+IF(AA$18="P",0,PI()*AB88))</f>
        <v>0</v>
      </c>
      <c r="Y88" s="308">
        <v>0</v>
      </c>
      <c r="Z88" s="309">
        <v>0</v>
      </c>
      <c r="AA88" s="310">
        <v>0</v>
      </c>
      <c r="AB88" s="198">
        <f t="shared" si="9"/>
        <v>0</v>
      </c>
      <c r="AC88" s="228">
        <f t="shared" si="7"/>
        <v>0</v>
      </c>
      <c r="AD88" s="10"/>
    </row>
    <row r="89" spans="1:30" ht="14.45" customHeight="1">
      <c r="A89" s="99">
        <v>67</v>
      </c>
      <c r="B89" s="246" t="s">
        <v>289</v>
      </c>
      <c r="H89" s="65" t="s">
        <v>291</v>
      </c>
      <c r="I89" s="289" t="s">
        <v>290</v>
      </c>
      <c r="J89" s="75">
        <f>2*J87/1000</f>
        <v>0.3</v>
      </c>
      <c r="K89" s="75">
        <f>2*K87/1000</f>
        <v>0.3</v>
      </c>
      <c r="L89" s="75">
        <f>2*L87/1000</f>
        <v>0.3</v>
      </c>
      <c r="O89" s="335">
        <v>20</v>
      </c>
      <c r="P89" s="116">
        <f t="shared" si="8"/>
        <v>0</v>
      </c>
      <c r="Q89" s="152">
        <f>IF(P89=0,0,2*(INT((P89-AA$36-IF(AA$25=90,0,IF(AA$23=1,AA$28,0)))/(IF(AA$25=90,1,2)*AA$28))+1)+IF(AA$25=90,1,IF(AA$23=1,1,0)))</f>
        <v>0</v>
      </c>
      <c r="R89" s="115">
        <f>IF(P89=0,0,2*(INT((P89-IF(O$68="Br.kol.",AA$36,AA$35)-IF(AA$25=90,0,IF(AA$23=1,IF(O$68="Br.kol.",AA$28,AA$27),0)))/(IF(AA$25=90,1,2)*IF(O$68="Br.kol.",AA$28,AA$27)))+1)+IF(AA$25=90,1,IF(AA$23=1,1,0)))</f>
        <v>0</v>
      </c>
      <c r="S89" s="132">
        <f>IF(P89=0,0,2*(INT((P89-AA$36-IF(AA$25=90,0,IF(AA$23=1,AA$28,0)))/(IF(AA$25=90,1,2)*AA$28))+1))</f>
        <v>0</v>
      </c>
      <c r="T89" s="114">
        <f>IF(P89=0,0,2*(INT((P89-AA$36-IF(AA$25=90,0,IF(AA$23=1,AA$28,0))-IF(P89&lt;=AA$36+(Q$62-1)*AA$28,2*AA$28,2*AA$32+AA$28))/(IF(AA$25=90,1,2)*AA$28))+2)+IF(AA$25=90,1,IF(AA$23=1,1,0)))</f>
        <v>0</v>
      </c>
      <c r="U89" s="132">
        <f>IF(P89=0,0,IF(U$71&gt;=T89,T89,U$71))</f>
        <v>0</v>
      </c>
      <c r="V89" s="152">
        <f t="shared" si="10"/>
        <v>0</v>
      </c>
      <c r="W89" s="113">
        <f>IF(P89=0,0,IF(W$71&lt;V89/2,W$71,V89/2))</f>
        <v>0</v>
      </c>
      <c r="X89" s="196">
        <f t="shared" ref="X89:X109" si="13">IF(S$61=6,Z89,IF(S$61=8,Z89,Y89))*AA$12*PI()*(2*X$65+IF(AA$18="P",0,PI()*AB89))</f>
        <v>0</v>
      </c>
      <c r="Y89" s="305">
        <v>0</v>
      </c>
      <c r="Z89" s="306">
        <v>0</v>
      </c>
      <c r="AA89" s="307">
        <v>0</v>
      </c>
      <c r="AB89" s="200">
        <f t="shared" si="9"/>
        <v>0</v>
      </c>
      <c r="AC89" s="229">
        <f t="shared" si="7"/>
        <v>0</v>
      </c>
      <c r="AD89" s="10"/>
    </row>
    <row r="90" spans="1:30" ht="14.45" customHeight="1">
      <c r="A90" s="99">
        <v>68</v>
      </c>
      <c r="B90" s="246" t="s">
        <v>293</v>
      </c>
      <c r="H90" s="65" t="s">
        <v>287</v>
      </c>
      <c r="I90" s="289" t="s">
        <v>294</v>
      </c>
      <c r="J90" s="344">
        <v>14</v>
      </c>
      <c r="K90" s="344">
        <v>7</v>
      </c>
      <c r="L90" s="344">
        <v>6</v>
      </c>
      <c r="M90" s="345"/>
      <c r="O90" s="336">
        <v>21</v>
      </c>
      <c r="P90" s="109">
        <f t="shared" si="8"/>
        <v>0</v>
      </c>
      <c r="Q90" s="110">
        <f>IF(P90=0,0,2*(INT((P90-AA$36-IF(AA$25=90,0,IF(AA$23=1,0,AA$28)))/(IF(AA$25=90,1,2)*AA$28))+1)+IF(AA$25=90,1,IF(AA$23=1,0,1)))</f>
        <v>0</v>
      </c>
      <c r="R90" s="111">
        <f>IF(P90=0,0,2*(INT((P90-IF(O$68="Br.kol.",AA$36,AA$35)-IF(AA$25=90,0,IF(AA$23=1,0,IF(O$68="Br.kol.",AA$28,AA$27))))/(IF(AA$25=90,1,2)*IF(O$68="Br.kol.",AA$28,AA$27)))+1)+IF(AA$25=90,1,IF(AA$23=1,0,1)))</f>
        <v>0</v>
      </c>
      <c r="S90" s="112">
        <f>IF(P90=0,0,2*(INT((P90-AA$36-IF(AA$25=90,0,IF(AA$23=1,0,AA$28)))/(IF(AA$25=90,1,2)*AA$28))+1))</f>
        <v>0</v>
      </c>
      <c r="T90" s="110">
        <f>IF(P90=0,0,2*(INT((P90-AA$36-IF(AA$25=90,0,IF(AA$23=1,0,AA$28))-IF(P90&lt;=AA$36+(Q$62-1)*AA$28,2*AA$28,2*AA$32+AA$28))/(IF(AA$25=90,1,2)*AA$28))+2)+IF(AA$25=90,1,IF(AA$23=1,0,1)))</f>
        <v>0</v>
      </c>
      <c r="U90" s="112">
        <f>IF(P90=0,0,IF(U$70&gt;=T90,T90,U$70))</f>
        <v>0</v>
      </c>
      <c r="V90" s="55">
        <f t="shared" si="10"/>
        <v>0</v>
      </c>
      <c r="W90" s="123">
        <f>IF(P90=0,0,IF(W$70&lt;V90/2,W$70,V90/2))</f>
        <v>0</v>
      </c>
      <c r="X90" s="191">
        <f t="shared" si="13"/>
        <v>0</v>
      </c>
      <c r="Y90" s="308">
        <v>0</v>
      </c>
      <c r="Z90" s="309">
        <v>0</v>
      </c>
      <c r="AA90" s="310">
        <v>0</v>
      </c>
      <c r="AB90" s="198">
        <f t="shared" si="9"/>
        <v>0</v>
      </c>
      <c r="AC90" s="228">
        <f t="shared" si="7"/>
        <v>0</v>
      </c>
      <c r="AD90" s="10"/>
    </row>
    <row r="91" spans="1:30" ht="14.45" customHeight="1">
      <c r="A91" s="99">
        <v>69</v>
      </c>
      <c r="B91" s="246" t="s">
        <v>295</v>
      </c>
      <c r="E91" s="248" t="s">
        <v>296</v>
      </c>
      <c r="H91" s="65" t="s">
        <v>284</v>
      </c>
      <c r="I91" s="289" t="s">
        <v>292</v>
      </c>
      <c r="J91" s="75">
        <f>ROUND(IF(J28="P",(J86-J89-J89)/(J90-1),(J86-J89-J19/3)/(J90-1)),2)</f>
        <v>0.4</v>
      </c>
      <c r="K91" s="75">
        <f>ROUND(IF(K28="P",(K86-K89-K89)/(K90-1),(K86-K89-K19/3)/(K90-1)),2)</f>
        <v>0.28999999999999998</v>
      </c>
      <c r="L91" s="75">
        <f>ROUND(IF(L28="P",(L86-L89-L89)/(L90-1),(L86-L89-L19/3)/(L90-1)),2)</f>
        <v>0.35</v>
      </c>
      <c r="M91" s="96"/>
      <c r="O91" s="334">
        <v>22</v>
      </c>
      <c r="P91" s="109">
        <f t="shared" si="8"/>
        <v>0</v>
      </c>
      <c r="Q91" s="110">
        <f>IF(P91=0,0,2*(INT((P91-AA$36-IF(AA$25=90,0,IF(AA$23=1,AA$28,0)))/(IF(AA$25=90,1,2)*AA$28))+1)+IF(AA$25=90,1,IF(AA$23=1,1,0)))</f>
        <v>0</v>
      </c>
      <c r="R91" s="111">
        <f>IF(P91=0,0,2*(INT((P91-IF(O$68="Br.kol.",AA$36,AA$35)-IF(AA$25=90,0,IF(AA$23=1,IF(O$68="Br.kol.",AA$28,AA$27),0)))/(IF(AA$25=90,1,2)*IF(O$68="Br.kol.",AA$28,AA$27)))+1)+IF(AA$25=90,1,IF(AA$23=1,1,0)))</f>
        <v>0</v>
      </c>
      <c r="S91" s="112">
        <f>IF(P91=0,0,2*(INT((P91-AA$36-IF(AA$25=90,0,IF(AA$23=1,AA$28,0)))/(IF(AA$25=90,1,2)*AA$28))+1))</f>
        <v>0</v>
      </c>
      <c r="T91" s="110">
        <f>IF(P91=0,0,2*(INT((P91-AA$36-IF(AA$25=90,0,IF(AA$23=1,AA$28,0))-IF(P91&lt;=AA$36+(Q$62-1)*AA$28,2*AA$28,2*AA$32+AA$28))/(IF(AA$25=90,1,2)*AA$28))+2)+IF(AA$25=90,1,IF(AA$23=1,1,0)))</f>
        <v>0</v>
      </c>
      <c r="U91" s="112">
        <f>IF(P91=0,0,IF(U$71&gt;=T91,T91,U$71))</f>
        <v>0</v>
      </c>
      <c r="V91" s="55">
        <f t="shared" si="10"/>
        <v>0</v>
      </c>
      <c r="W91" s="123">
        <f>IF(P91=0,0,IF(W$71&lt;V91/2,W$71,V91/2))</f>
        <v>0</v>
      </c>
      <c r="X91" s="191">
        <f t="shared" si="13"/>
        <v>0</v>
      </c>
      <c r="Y91" s="308">
        <v>0</v>
      </c>
      <c r="Z91" s="309">
        <v>0</v>
      </c>
      <c r="AA91" s="310">
        <v>0</v>
      </c>
      <c r="AB91" s="198">
        <f t="shared" si="9"/>
        <v>0</v>
      </c>
      <c r="AC91" s="228">
        <f t="shared" si="7"/>
        <v>0</v>
      </c>
      <c r="AD91" s="10"/>
    </row>
    <row r="92" spans="1:30" ht="14.45" customHeight="1">
      <c r="B92" s="240"/>
      <c r="C92" s="240"/>
      <c r="D92" s="239"/>
      <c r="E92" s="243"/>
      <c r="F92" s="241"/>
      <c r="I92" s="56"/>
      <c r="O92" s="334">
        <v>23</v>
      </c>
      <c r="P92" s="109">
        <f t="shared" si="8"/>
        <v>0</v>
      </c>
      <c r="Q92" s="110">
        <f>IF(P92=0,0,2*(INT((P92-AA$36-IF(AA$25=90,0,IF(AA$23=1,0,AA$28)))/(IF(AA$25=90,1,2)*AA$28))+1)+IF(AA$25=90,1,IF(AA$23=1,0,1)))</f>
        <v>0</v>
      </c>
      <c r="R92" s="111">
        <f>IF(P92=0,0,2*(INT((P92-IF(O$68="Br.kol.",AA$36,AA$35)-IF(AA$25=90,0,IF(AA$23=1,0,IF(O$68="Br.kol.",AA$28,AA$27))))/(IF(AA$25=90,1,2)*IF(O$68="Br.kol.",AA$28,AA$27)))+1)+IF(AA$25=90,1,IF(AA$23=1,0,1)))</f>
        <v>0</v>
      </c>
      <c r="S92" s="112">
        <f>IF(P92=0,0,2*(INT((P92-AA$36-IF(AA$25=90,0,IF(AA$23=1,0,AA$28)))/(IF(AA$25=90,1,2)*AA$28))+1))</f>
        <v>0</v>
      </c>
      <c r="T92" s="110">
        <f>IF(P92=0,0,2*(INT((P92-AA$36-IF(AA$25=90,0,IF(AA$23=1,0,AA$28))-IF(P92&lt;=AA$36+(Q$62-1)*AA$28,2*AA$28,2*AA$32+AA$28))/(IF(AA$25=90,1,2)*AA$28))+2)+IF(AA$25=90,1,IF(AA$23=1,0,1)))</f>
        <v>0</v>
      </c>
      <c r="U92" s="112">
        <f>IF(P92=0,0,IF(U$70&gt;=T92,T92,U$70))</f>
        <v>0</v>
      </c>
      <c r="V92" s="55">
        <f t="shared" si="10"/>
        <v>0</v>
      </c>
      <c r="W92" s="123">
        <f>IF(P92=0,0,IF(W$70&lt;V92/2,W$70,V92/2))</f>
        <v>0</v>
      </c>
      <c r="X92" s="191">
        <f t="shared" si="13"/>
        <v>0</v>
      </c>
      <c r="Y92" s="308">
        <v>0</v>
      </c>
      <c r="Z92" s="309">
        <v>0</v>
      </c>
      <c r="AA92" s="310">
        <v>0</v>
      </c>
      <c r="AB92" s="198">
        <f t="shared" si="9"/>
        <v>0</v>
      </c>
      <c r="AC92" s="228">
        <f t="shared" si="7"/>
        <v>0</v>
      </c>
      <c r="AD92" s="10"/>
    </row>
    <row r="93" spans="1:30" ht="14.45" customHeight="1">
      <c r="B93" s="247"/>
      <c r="D93" s="239"/>
      <c r="E93" s="243"/>
      <c r="F93" s="241"/>
      <c r="O93" s="334">
        <v>24</v>
      </c>
      <c r="P93" s="109">
        <f t="shared" si="8"/>
        <v>0</v>
      </c>
      <c r="Q93" s="110">
        <f>IF(P93=0,0,2*(INT((P93-AA$36-IF(AA$25=90,0,IF(AA$23=1,AA$28,0)))/(IF(AA$25=90,1,2)*AA$28))+1)+IF(AA$25=90,1,IF(AA$23=1,1,0)))</f>
        <v>0</v>
      </c>
      <c r="R93" s="111">
        <f>IF(P93=0,0,2*(INT((P93-IF(O$68="Br.kol.",AA$36,AA$35)-IF(AA$25=90,0,IF(AA$23=1,IF(O$68="Br.kol.",AA$28,AA$27),0)))/(IF(AA$25=90,1,2)*IF(O$68="Br.kol.",AA$28,AA$27)))+1)+IF(AA$25=90,1,IF(AA$23=1,1,0)))</f>
        <v>0</v>
      </c>
      <c r="S93" s="112">
        <f>IF(P93=0,0,2*(INT((P93-AA$36-IF(AA$25=90,0,IF(AA$23=1,AA$28,0)))/(IF(AA$25=90,1,2)*AA$28))+1))</f>
        <v>0</v>
      </c>
      <c r="T93" s="110">
        <f>IF(P93=0,0,2*(INT((P93-AA$36-IF(AA$25=90,0,IF(AA$23=1,AA$28,0))-IF(P93&lt;=AA$36+(Q$62-1)*AA$28,2*AA$28,2*AA$32+AA$28))/(IF(AA$25=90,1,2)*AA$28))+2)+IF(AA$25=90,1,IF(AA$23=1,1,0)))</f>
        <v>0</v>
      </c>
      <c r="U93" s="112">
        <f>IF(P93=0,0,IF(U$71&gt;=T93,T93,U$71))</f>
        <v>0</v>
      </c>
      <c r="V93" s="55">
        <f t="shared" si="10"/>
        <v>0</v>
      </c>
      <c r="W93" s="123">
        <f>IF(P93=0,0,IF(W$71&lt;V93/2,W$71,V93/2))</f>
        <v>0</v>
      </c>
      <c r="X93" s="191">
        <f t="shared" si="13"/>
        <v>0</v>
      </c>
      <c r="Y93" s="308">
        <v>0</v>
      </c>
      <c r="Z93" s="309">
        <v>0</v>
      </c>
      <c r="AA93" s="310">
        <v>0</v>
      </c>
      <c r="AB93" s="198">
        <f t="shared" si="9"/>
        <v>0</v>
      </c>
      <c r="AC93" s="228">
        <f t="shared" si="7"/>
        <v>0</v>
      </c>
      <c r="AD93" s="10"/>
    </row>
    <row r="94" spans="1:30" ht="14.4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130"/>
      <c r="L94" s="130"/>
      <c r="M94" s="7"/>
      <c r="O94" s="334">
        <v>25</v>
      </c>
      <c r="P94" s="109">
        <f t="shared" si="8"/>
        <v>0</v>
      </c>
      <c r="Q94" s="110">
        <f>IF(P94=0,0,2*(INT((P94-AA$36-IF(AA$25=90,0,IF(AA$23=1,0,AA$28)))/(IF(AA$25=90,1,2)*AA$28))+1)+IF(AA$25=90,1,IF(AA$23=1,0,1)))</f>
        <v>0</v>
      </c>
      <c r="R94" s="111">
        <f>IF(P94=0,0,2*(INT((P94-IF(O$68="Br.kol.",AA$36,AA$35)-IF(AA$25=90,0,IF(AA$23=1,0,IF(O$68="Br.kol.",AA$28,AA$27))))/(IF(AA$25=90,1,2)*IF(O$68="Br.kol.",AA$28,AA$27)))+1)+IF(AA$25=90,1,IF(AA$23=1,0,1)))</f>
        <v>0</v>
      </c>
      <c r="S94" s="112">
        <f>IF(P94=0,0,2*(INT((P94-AA$36-IF(AA$25=90,0,IF(AA$23=1,0,AA$28)))/(IF(AA$25=90,1,2)*AA$28))+1))</f>
        <v>0</v>
      </c>
      <c r="T94" s="110">
        <f>IF(P94=0,0,2*(INT((P94-AA$36-IF(AA$25=90,0,IF(AA$23=1,0,AA$28))-IF(P94&lt;=AA$36+(Q$62-1)*AA$28,2*AA$28,2*AA$32+AA$28))/(IF(AA$25=90,1,2)*AA$28))+2)+IF(AA$25=90,1,IF(AA$23=1,0,1)))</f>
        <v>0</v>
      </c>
      <c r="U94" s="112">
        <f>IF(P94=0,0,IF(U$70&gt;=T94,T94,U$70))</f>
        <v>0</v>
      </c>
      <c r="V94" s="55">
        <f t="shared" si="10"/>
        <v>0</v>
      </c>
      <c r="W94" s="123">
        <f>IF(P94=0,0,IF(W$70&lt;V94/2,W$70,V94/2))</f>
        <v>0</v>
      </c>
      <c r="X94" s="191">
        <f t="shared" si="13"/>
        <v>0</v>
      </c>
      <c r="Y94" s="308">
        <v>0</v>
      </c>
      <c r="Z94" s="309">
        <v>0</v>
      </c>
      <c r="AA94" s="310">
        <v>0</v>
      </c>
      <c r="AB94" s="198">
        <f t="shared" si="9"/>
        <v>0</v>
      </c>
      <c r="AC94" s="228">
        <f t="shared" si="7"/>
        <v>0</v>
      </c>
      <c r="AD94" s="10"/>
    </row>
    <row r="95" spans="1:30" ht="14.45" customHeight="1">
      <c r="A95" s="7"/>
      <c r="B95" s="7"/>
      <c r="C95" s="7"/>
      <c r="D95" s="7"/>
      <c r="E95" s="7"/>
      <c r="F95" s="7"/>
      <c r="G95" s="7"/>
      <c r="H95" s="7"/>
      <c r="J95" s="7"/>
      <c r="K95" s="7"/>
      <c r="L95" s="130"/>
      <c r="M95" s="7"/>
      <c r="O95" s="334">
        <v>26</v>
      </c>
      <c r="P95" s="109">
        <f t="shared" si="8"/>
        <v>0</v>
      </c>
      <c r="Q95" s="110">
        <f>IF(P95=0,0,2*(INT((P95-AA$36-IF(AA$25=90,0,IF(AA$23=1,AA$28,0)))/(IF(AA$25=90,1,2)*AA$28))+1)+IF(AA$25=90,1,IF(AA$23=1,1,0)))</f>
        <v>0</v>
      </c>
      <c r="R95" s="111">
        <f>IF(P95=0,0,2*(INT((P95-IF(O$68="Br.kol.",AA$36,AA$35)-IF(AA$25=90,0,IF(AA$23=1,IF(O$68="Br.kol.",AA$28,AA$27),0)))/(IF(AA$25=90,1,2)*IF(O$68="Br.kol.",AA$28,AA$27)))+1)+IF(AA$25=90,1,IF(AA$23=1,1,0)))</f>
        <v>0</v>
      </c>
      <c r="S95" s="112">
        <f>IF(P95=0,0,2*(INT((P95-AA$36-IF(AA$25=90,0,IF(AA$23=1,AA$28,0)))/(IF(AA$25=90,1,2)*AA$28))+1))</f>
        <v>0</v>
      </c>
      <c r="T95" s="110">
        <f>IF(P95=0,0,2*(INT((P95-AA$36-IF(AA$25=90,0,IF(AA$23=1,AA$28,0))-IF(P95&lt;=AA$36+(Q$62-1)*AA$28,2*AA$28,2*AA$32+AA$28))/(IF(AA$25=90,1,2)*AA$28))+2)+IF(AA$25=90,1,IF(AA$23=1,1,0)))</f>
        <v>0</v>
      </c>
      <c r="U95" s="112">
        <f>IF(P95=0,0,IF(U$71&gt;=T95,T95,U$71))</f>
        <v>0</v>
      </c>
      <c r="V95" s="55">
        <f t="shared" si="10"/>
        <v>0</v>
      </c>
      <c r="W95" s="123">
        <f>IF(P95=0,0,IF(W$71&lt;V95/2,W$71,V95/2))</f>
        <v>0</v>
      </c>
      <c r="X95" s="191">
        <f t="shared" si="13"/>
        <v>0</v>
      </c>
      <c r="Y95" s="308">
        <v>0</v>
      </c>
      <c r="Z95" s="309">
        <v>0</v>
      </c>
      <c r="AA95" s="310">
        <v>0</v>
      </c>
      <c r="AB95" s="198">
        <f t="shared" si="9"/>
        <v>0</v>
      </c>
      <c r="AC95" s="228">
        <f t="shared" si="7"/>
        <v>0</v>
      </c>
      <c r="AD95" s="10"/>
    </row>
    <row r="96" spans="1:30" ht="14.45" customHeight="1">
      <c r="A96" s="264"/>
      <c r="B96" s="31"/>
      <c r="C96" s="41"/>
      <c r="D96" s="25"/>
      <c r="E96" s="25"/>
      <c r="F96" s="25"/>
      <c r="G96" s="25"/>
      <c r="H96" s="252"/>
      <c r="I96" s="253"/>
      <c r="J96" s="242"/>
      <c r="K96" s="242"/>
      <c r="L96" s="242"/>
      <c r="M96" s="7"/>
      <c r="O96" s="334">
        <v>27</v>
      </c>
      <c r="P96" s="109">
        <f t="shared" si="8"/>
        <v>0</v>
      </c>
      <c r="Q96" s="110">
        <f>IF(P96=0,0,2*(INT((P96-AA$36-IF(AA$25=90,0,IF(AA$23=1,0,AA$28)))/(IF(AA$25=90,1,2)*AA$28))+1)+IF(AA$25=90,1,IF(AA$23=1,0,1)))</f>
        <v>0</v>
      </c>
      <c r="R96" s="111">
        <f>IF(P96=0,0,2*(INT((P96-IF(O$68="Br.kol.",AA$36,AA$35)-IF(AA$25=90,0,IF(AA$23=1,0,IF(O$68="Br.kol.",AA$28,AA$27))))/(IF(AA$25=90,1,2)*IF(O$68="Br.kol.",AA$28,AA$27)))+1)+IF(AA$25=90,1,IF(AA$23=1,0,1)))</f>
        <v>0</v>
      </c>
      <c r="S96" s="112">
        <f>IF(P96=0,0,2*(INT((P96-AA$36-IF(AA$25=90,0,IF(AA$23=1,0,AA$28)))/(IF(AA$25=90,1,2)*AA$28))+1))</f>
        <v>0</v>
      </c>
      <c r="T96" s="110">
        <f>IF(P96=0,0,2*(INT((P96-AA$36-IF(AA$25=90,0,IF(AA$23=1,0,AA$28))-IF(P96&lt;=AA$36+(Q$62-1)*AA$28,2*AA$28,2*AA$32+AA$28))/(IF(AA$25=90,1,2)*AA$28))+2)+IF(AA$25=90,1,IF(AA$23=1,0,1)))</f>
        <v>0</v>
      </c>
      <c r="U96" s="112">
        <f>IF(P96=0,0,IF(U$70&gt;=T96,T96,U$70))</f>
        <v>0</v>
      </c>
      <c r="V96" s="55">
        <f t="shared" si="10"/>
        <v>0</v>
      </c>
      <c r="W96" s="123">
        <f>IF(P96=0,0,IF(W$70&lt;V96/2,W$70,V96/2))</f>
        <v>0</v>
      </c>
      <c r="X96" s="191">
        <f t="shared" si="13"/>
        <v>0</v>
      </c>
      <c r="Y96" s="308">
        <v>0</v>
      </c>
      <c r="Z96" s="309">
        <v>0</v>
      </c>
      <c r="AA96" s="310">
        <v>0</v>
      </c>
      <c r="AB96" s="198">
        <f t="shared" si="9"/>
        <v>0</v>
      </c>
      <c r="AC96" s="228">
        <f t="shared" si="7"/>
        <v>0</v>
      </c>
      <c r="AD96" s="10"/>
    </row>
    <row r="97" spans="1:30" ht="14.45" customHeight="1">
      <c r="A97" s="264"/>
      <c r="B97" s="14"/>
      <c r="C97" s="31"/>
      <c r="D97" s="25"/>
      <c r="E97" s="25"/>
      <c r="F97" s="25"/>
      <c r="G97" s="7"/>
      <c r="H97" s="252"/>
      <c r="I97" s="253"/>
      <c r="J97" s="242"/>
      <c r="K97" s="242"/>
      <c r="L97" s="242"/>
      <c r="M97" s="7"/>
      <c r="O97" s="334">
        <v>28</v>
      </c>
      <c r="P97" s="109">
        <f t="shared" si="8"/>
        <v>0</v>
      </c>
      <c r="Q97" s="110">
        <f>IF(P97=0,0,2*(INT((P97-AA$36-IF(AA$25=90,0,IF(AA$23=1,AA$28,0)))/(IF(AA$25=90,1,2)*AA$28))+1)+IF(AA$25=90,1,IF(AA$23=1,1,0)))</f>
        <v>0</v>
      </c>
      <c r="R97" s="111">
        <f>IF(P97=0,0,2*(INT((P97-IF(O$68="Br.kol.",AA$36,AA$35)-IF(AA$25=90,0,IF(AA$23=1,IF(O$68="Br.kol.",AA$28,AA$27),0)))/(IF(AA$25=90,1,2)*IF(O$68="Br.kol.",AA$28,AA$27)))+1)+IF(AA$25=90,1,IF(AA$23=1,1,0)))</f>
        <v>0</v>
      </c>
      <c r="S97" s="112">
        <f>IF(P97=0,0,2*(INT((P97-AA$36-IF(AA$25=90,0,IF(AA$23=1,AA$28,0)))/(IF(AA$25=90,1,2)*AA$28))+1))</f>
        <v>0</v>
      </c>
      <c r="T97" s="110">
        <f>IF(P97=0,0,2*(INT((P97-AA$36-IF(AA$25=90,0,IF(AA$23=1,AA$28,0))-IF(P97&lt;=AA$36+(Q$62-1)*AA$28,2*AA$28,2*AA$32+AA$28))/(IF(AA$25=90,1,2)*AA$28))+2)+IF(AA$25=90,1,IF(AA$23=1,1,0)))</f>
        <v>0</v>
      </c>
      <c r="U97" s="112">
        <f>IF(P97=0,0,IF(U$71&gt;=T97,T97,U$71))</f>
        <v>0</v>
      </c>
      <c r="V97" s="55">
        <f t="shared" si="10"/>
        <v>0</v>
      </c>
      <c r="W97" s="123">
        <f>IF(P97=0,0,IF(W$71&lt;V97/2,W$71,V97/2))</f>
        <v>0</v>
      </c>
      <c r="X97" s="191">
        <f t="shared" si="13"/>
        <v>0</v>
      </c>
      <c r="Y97" s="308">
        <v>0</v>
      </c>
      <c r="Z97" s="309">
        <v>0</v>
      </c>
      <c r="AA97" s="310">
        <v>0</v>
      </c>
      <c r="AB97" s="198">
        <f t="shared" si="9"/>
        <v>0</v>
      </c>
      <c r="AC97" s="228">
        <f t="shared" si="7"/>
        <v>0</v>
      </c>
      <c r="AD97" s="10"/>
    </row>
    <row r="98" spans="1:30" ht="14.45" customHeight="1">
      <c r="A98" s="264"/>
      <c r="B98" s="14"/>
      <c r="C98" s="7"/>
      <c r="D98" s="7"/>
      <c r="E98" s="7"/>
      <c r="F98" s="7"/>
      <c r="G98" s="7"/>
      <c r="H98" s="252"/>
      <c r="I98" s="254"/>
      <c r="J98" s="242"/>
      <c r="K98" s="242"/>
      <c r="L98" s="242"/>
      <c r="M98" s="7"/>
      <c r="O98" s="334">
        <v>29</v>
      </c>
      <c r="P98" s="109">
        <f t="shared" si="8"/>
        <v>0</v>
      </c>
      <c r="Q98" s="110">
        <f>IF(P98=0,0,2*(INT((P98-AA$36-IF(AA$25=90,0,IF(AA$23=1,0,AA$28)))/(IF(AA$25=90,1,2)*AA$28))+1)+IF(AA$25=90,1,IF(AA$23=1,0,1)))</f>
        <v>0</v>
      </c>
      <c r="R98" s="111">
        <f>IF(P98=0,0,2*(INT((P98-IF(O$68="Br.kol.",AA$36,AA$35)-IF(AA$25=90,0,IF(AA$23=1,0,IF(O$68="Br.kol.",AA$28,AA$27))))/(IF(AA$25=90,1,2)*IF(O$68="Br.kol.",AA$28,AA$27)))+1)+IF(AA$25=90,1,IF(AA$23=1,0,1)))</f>
        <v>0</v>
      </c>
      <c r="S98" s="112">
        <f>IF(P98=0,0,2*(INT((P98-AA$36-IF(AA$25=90,0,IF(AA$23=1,0,AA$28)))/(IF(AA$25=90,1,2)*AA$28))+1))</f>
        <v>0</v>
      </c>
      <c r="T98" s="110">
        <f>IF(P98=0,0,2*(INT((P98-AA$36-IF(AA$25=90,0,IF(AA$23=1,0,AA$28))-IF(P98&lt;=AA$36+(Q$62-1)*AA$28,2*AA$28,2*AA$32+AA$28))/(IF(AA$25=90,1,2)*AA$28))+2)+IF(AA$25=90,1,IF(AA$23=1,0,1)))</f>
        <v>0</v>
      </c>
      <c r="U98" s="112">
        <f>IF(P98=0,0,IF(U$70&gt;=T98,T98,U$70))</f>
        <v>0</v>
      </c>
      <c r="V98" s="55">
        <f t="shared" si="10"/>
        <v>0</v>
      </c>
      <c r="W98" s="123">
        <f>IF(P98=0,0,IF(W$70&lt;V98/2,W$70,V98/2))</f>
        <v>0</v>
      </c>
      <c r="X98" s="191">
        <f t="shared" si="13"/>
        <v>0</v>
      </c>
      <c r="Y98" s="308">
        <v>0</v>
      </c>
      <c r="Z98" s="309">
        <v>0</v>
      </c>
      <c r="AA98" s="310">
        <v>0</v>
      </c>
      <c r="AB98" s="198">
        <f t="shared" si="9"/>
        <v>0</v>
      </c>
      <c r="AC98" s="228">
        <f t="shared" si="7"/>
        <v>0</v>
      </c>
      <c r="AD98" s="10"/>
    </row>
    <row r="99" spans="1:30" ht="14.45" customHeight="1">
      <c r="A99" s="264"/>
      <c r="B99" s="43"/>
      <c r="C99" s="41"/>
      <c r="D99" s="25"/>
      <c r="E99" s="25"/>
      <c r="F99" s="25"/>
      <c r="G99" s="7"/>
      <c r="H99" s="265"/>
      <c r="I99" s="253"/>
      <c r="J99" s="255"/>
      <c r="K99" s="255"/>
      <c r="L99" s="255"/>
      <c r="M99" s="7"/>
      <c r="O99" s="335">
        <v>30</v>
      </c>
      <c r="P99" s="116">
        <f t="shared" si="8"/>
        <v>0</v>
      </c>
      <c r="Q99" s="152">
        <f>IF(P99=0,0,2*(INT((P99-AA$36-IF(AA$25=90,0,IF(AA$23=1,AA$28,0)))/(IF(AA$25=90,1,2)*AA$28))+1)+IF(AA$25=90,1,IF(AA$23=1,1,0)))</f>
        <v>0</v>
      </c>
      <c r="R99" s="115">
        <f>IF(P99=0,0,2*(INT((P99-IF(O$68="Br.kol.",AA$36,AA$35)-IF(AA$25=90,0,IF(AA$23=1,IF(O$68="Br.kol.",AA$28,AA$27),0)))/(IF(AA$25=90,1,2)*IF(O$68="Br.kol.",AA$28,AA$27)))+1)+IF(AA$25=90,1,IF(AA$23=1,1,0)))</f>
        <v>0</v>
      </c>
      <c r="S99" s="132">
        <f>IF(P99=0,0,2*(INT((P99-AA$36-IF(AA$25=90,0,IF(AA$23=1,AA$28,0)))/(IF(AA$25=90,1,2)*AA$28))+1))</f>
        <v>0</v>
      </c>
      <c r="T99" s="114">
        <f>IF(P99=0,0,2*(INT((P99-AA$36-IF(AA$25=90,0,IF(AA$23=1,AA$28,0))-IF(P99&lt;=AA$36+(Q$62-1)*AA$28,2*AA$28,2*AA$32+AA$28))/(IF(AA$25=90,1,2)*AA$28))+2)+IF(AA$25=90,1,IF(AA$23=1,1,0)))</f>
        <v>0</v>
      </c>
      <c r="U99" s="132">
        <f>IF(P99=0,0,IF(U$71&gt;=T99,T99,U$71))</f>
        <v>0</v>
      </c>
      <c r="V99" s="152">
        <f t="shared" si="10"/>
        <v>0</v>
      </c>
      <c r="W99" s="113">
        <f>IF(P99=0,0,IF(W$71&lt;V99/2,W$71,V99/2))</f>
        <v>0</v>
      </c>
      <c r="X99" s="283">
        <f t="shared" si="13"/>
        <v>0</v>
      </c>
      <c r="Y99" s="305">
        <v>0</v>
      </c>
      <c r="Z99" s="306">
        <v>0</v>
      </c>
      <c r="AA99" s="307">
        <v>0</v>
      </c>
      <c r="AB99" s="200">
        <f t="shared" si="9"/>
        <v>0</v>
      </c>
      <c r="AC99" s="229">
        <f t="shared" si="7"/>
        <v>0</v>
      </c>
      <c r="AD99" s="10"/>
    </row>
    <row r="100" spans="1:30" ht="14.45" customHeight="1">
      <c r="A100" s="264"/>
      <c r="B100" s="43"/>
      <c r="C100" s="41"/>
      <c r="D100" s="25"/>
      <c r="E100" s="25"/>
      <c r="F100" s="25"/>
      <c r="G100" s="266"/>
      <c r="H100" s="267"/>
      <c r="I100" s="253"/>
      <c r="J100" s="242"/>
      <c r="K100" s="242"/>
      <c r="L100" s="268"/>
      <c r="M100" s="7"/>
      <c r="O100" s="334">
        <v>31</v>
      </c>
      <c r="P100" s="109">
        <f t="shared" si="8"/>
        <v>0</v>
      </c>
      <c r="Q100" s="110">
        <f>IF(P100=0,0,2*(INT((P100-AA$36-IF(AA$25=90,0,IF(AA$23=1,0,AA$28)))/(IF(AA$25=90,1,2)*AA$28))+1)+IF(AA$25=90,1,IF(AA$23=1,0,1)))</f>
        <v>0</v>
      </c>
      <c r="R100" s="111">
        <f>IF(P100=0,0,2*(INT((P100-IF(O$68="Br.kol.",AA$36,AA$35)-IF(AA$25=90,0,IF(AA$23=1,0,IF(O$68="Br.kol.",AA$28,AA$27))))/(IF(AA$25=90,1,2)*IF(O$68="Br.kol.",AA$28,AA$27)))+1)+IF(AA$25=90,1,IF(AA$23=1,0,1)))</f>
        <v>0</v>
      </c>
      <c r="S100" s="112">
        <f>IF(P100=0,0,2*(INT((P100-AA$36-IF(AA$25=90,0,IF(AA$23=1,0,AA$28)))/(IF(AA$25=90,1,2)*AA$28))+1))</f>
        <v>0</v>
      </c>
      <c r="T100" s="110">
        <f>IF(P100=0,0,2*(INT((P100-AA$36-IF(AA$25=90,0,IF(AA$23=1,0,AA$28))-IF(P100&lt;=AA$36+(Q$62-1)*AA$28,2*AA$28,2*AA$32+AA$28))/(IF(AA$25=90,1,2)*AA$28))+2)+IF(AA$25=90,1,IF(AA$23=1,0,1)))</f>
        <v>0</v>
      </c>
      <c r="U100" s="112">
        <f>IF(P100=0,0,IF(U$70&gt;=T100,T100,U$70))</f>
        <v>0</v>
      </c>
      <c r="V100" s="55">
        <f t="shared" si="10"/>
        <v>0</v>
      </c>
      <c r="W100" s="123">
        <f>IF(P100=0,0,IF(W$70&lt;V100/2,W$70,V100/2))</f>
        <v>0</v>
      </c>
      <c r="X100" s="191">
        <f t="shared" si="13"/>
        <v>0</v>
      </c>
      <c r="Y100" s="308">
        <v>0</v>
      </c>
      <c r="Z100" s="309">
        <v>0</v>
      </c>
      <c r="AA100" s="310">
        <v>0</v>
      </c>
      <c r="AB100" s="198">
        <f t="shared" si="9"/>
        <v>0</v>
      </c>
      <c r="AC100" s="284">
        <f t="shared" si="7"/>
        <v>0</v>
      </c>
      <c r="AD100" s="10"/>
    </row>
    <row r="101" spans="1:30" ht="14.45" customHeight="1">
      <c r="A101" s="264"/>
      <c r="B101" s="43"/>
      <c r="C101" s="41"/>
      <c r="D101" s="25"/>
      <c r="E101" s="25"/>
      <c r="F101" s="25"/>
      <c r="G101" s="266"/>
      <c r="H101" s="267"/>
      <c r="I101" s="253"/>
      <c r="J101" s="256"/>
      <c r="K101" s="256"/>
      <c r="L101" s="256"/>
      <c r="M101" s="7"/>
      <c r="O101" s="334">
        <v>32</v>
      </c>
      <c r="P101" s="109">
        <f t="shared" si="8"/>
        <v>0</v>
      </c>
      <c r="Q101" s="110">
        <f>IF(P101=0,0,2*(INT((P101-AA$36-IF(AA$25=90,0,IF(AA$23=1,AA$28,0)))/(IF(AA$25=90,1,2)*AA$28))+1)+IF(AA$25=90,1,IF(AA$23=1,1,0)))</f>
        <v>0</v>
      </c>
      <c r="R101" s="111">
        <f>IF(P101=0,0,2*(INT((P101-IF(O$68="Br.kol.",AA$36,AA$35)-IF(AA$25=90,0,IF(AA$23=1,IF(O$68="Br.kol.",AA$28,AA$27),0)))/(IF(AA$25=90,1,2)*IF(O$68="Br.kol.",AA$28,AA$27)))+1)+IF(AA$25=90,1,IF(AA$23=1,1,0)))</f>
        <v>0</v>
      </c>
      <c r="S101" s="112">
        <f>IF(P101=0,0,2*(INT((P101-AA$36-IF(AA$25=90,0,IF(AA$23=1,AA$28,0)))/(IF(AA$25=90,1,2)*AA$28))+1))</f>
        <v>0</v>
      </c>
      <c r="T101" s="110">
        <f>IF(P101=0,0,2*(INT((P101-AA$36-IF(AA$25=90,0,IF(AA$23=1,AA$28,0))-IF(P101&lt;=AA$36+(Q$62-1)*AA$28,2*AA$28,2*AA$32+AA$28))/(IF(AA$25=90,1,2)*AA$28))+2)+IF(AA$25=90,1,IF(AA$23=1,1,0)))</f>
        <v>0</v>
      </c>
      <c r="U101" s="112">
        <f>IF(P101=0,0,IF(U$71&gt;=T101,T101,U$71))</f>
        <v>0</v>
      </c>
      <c r="V101" s="55">
        <f t="shared" si="10"/>
        <v>0</v>
      </c>
      <c r="W101" s="123">
        <f>IF(P101=0,0,IF(W$71&lt;V101/2,W$71,V101/2))</f>
        <v>0</v>
      </c>
      <c r="X101" s="191">
        <f t="shared" si="13"/>
        <v>0</v>
      </c>
      <c r="Y101" s="308">
        <v>0</v>
      </c>
      <c r="Z101" s="309">
        <v>0</v>
      </c>
      <c r="AA101" s="310">
        <v>0</v>
      </c>
      <c r="AB101" s="198">
        <f t="shared" si="9"/>
        <v>0</v>
      </c>
      <c r="AC101" s="228">
        <f t="shared" si="7"/>
        <v>0</v>
      </c>
      <c r="AD101" s="10"/>
    </row>
    <row r="102" spans="1:30" ht="14.45" customHeight="1">
      <c r="A102" s="264"/>
      <c r="B102" s="14"/>
      <c r="C102" s="25"/>
      <c r="D102" s="25"/>
      <c r="E102" s="269"/>
      <c r="F102" s="25"/>
      <c r="G102" s="25"/>
      <c r="H102" s="252"/>
      <c r="I102" s="253"/>
      <c r="J102" s="54"/>
      <c r="K102" s="54"/>
      <c r="L102" s="54"/>
      <c r="M102" s="7"/>
      <c r="O102" s="334">
        <v>33</v>
      </c>
      <c r="P102" s="109">
        <f t="shared" si="8"/>
        <v>0</v>
      </c>
      <c r="Q102" s="110">
        <f>IF(P102=0,0,2*(INT((P102-AA$36-IF(AA$25=90,0,IF(AA$23=1,0,AA$28)))/(IF(AA$25=90,1,2)*AA$28))+1)+IF(AA$25=90,1,IF(AA$23=1,0,1)))</f>
        <v>0</v>
      </c>
      <c r="R102" s="111">
        <f>IF(P102=0,0,2*(INT((P102-IF(O$68="Br.kol.",AA$36,AA$35)-IF(AA$25=90,0,IF(AA$23=1,0,IF(O$68="Br.kol.",AA$28,AA$27))))/(IF(AA$25=90,1,2)*IF(O$68="Br.kol.",AA$28,AA$27)))+1)+IF(AA$25=90,1,IF(AA$23=1,0,1)))</f>
        <v>0</v>
      </c>
      <c r="S102" s="112">
        <f>IF(P102=0,0,2*(INT((P102-AA$36-IF(AA$25=90,0,IF(AA$23=1,0,AA$28)))/(IF(AA$25=90,1,2)*AA$28))+1))</f>
        <v>0</v>
      </c>
      <c r="T102" s="110">
        <f>IF(P102=0,0,2*(INT((P102-AA$36-IF(AA$25=90,0,IF(AA$23=1,0,AA$28))-IF(P102&lt;=AA$36+(Q$62-1)*AA$28,2*AA$28,2*AA$32+AA$28))/(IF(AA$25=90,1,2)*AA$28))+2)+IF(AA$25=90,1,IF(AA$23=1,0,1)))</f>
        <v>0</v>
      </c>
      <c r="U102" s="112">
        <f>IF(P102=0,0,IF(U$70&gt;=T102,T102,U$70))</f>
        <v>0</v>
      </c>
      <c r="V102" s="55">
        <f t="shared" si="10"/>
        <v>0</v>
      </c>
      <c r="W102" s="123">
        <f>IF(P102=0,0,IF(W$70&lt;V102/2,W$70,V102/2))</f>
        <v>0</v>
      </c>
      <c r="X102" s="191">
        <f t="shared" si="13"/>
        <v>0</v>
      </c>
      <c r="Y102" s="308">
        <v>0</v>
      </c>
      <c r="Z102" s="309">
        <v>0</v>
      </c>
      <c r="AA102" s="310">
        <v>0</v>
      </c>
      <c r="AB102" s="198">
        <f t="shared" si="9"/>
        <v>0</v>
      </c>
      <c r="AC102" s="228">
        <f t="shared" si="7"/>
        <v>0</v>
      </c>
      <c r="AD102" s="10"/>
    </row>
    <row r="103" spans="1:30" ht="14.45" customHeight="1">
      <c r="A103" s="264"/>
      <c r="B103" s="14"/>
      <c r="C103" s="25"/>
      <c r="D103" s="25"/>
      <c r="E103" s="269"/>
      <c r="F103" s="25"/>
      <c r="G103" s="25"/>
      <c r="H103" s="252"/>
      <c r="I103" s="253"/>
      <c r="J103" s="54"/>
      <c r="K103" s="54"/>
      <c r="L103" s="54"/>
      <c r="M103" s="7"/>
      <c r="O103" s="334">
        <v>34</v>
      </c>
      <c r="P103" s="109">
        <f t="shared" si="8"/>
        <v>0</v>
      </c>
      <c r="Q103" s="110">
        <f>IF(P103=0,0,2*(INT((P103-AA$36-IF(AA$25=90,0,IF(AA$23=1,AA$28,0)))/(IF(AA$25=90,1,2)*AA$28))+1)+IF(AA$25=90,1,IF(AA$23=1,1,0)))</f>
        <v>0</v>
      </c>
      <c r="R103" s="111">
        <f>IF(P103=0,0,2*(INT((P103-IF(O$68="Br.kol.",AA$36,AA$35)-IF(AA$25=90,0,IF(AA$23=1,IF(O$68="Br.kol.",AA$28,AA$27),0)))/(IF(AA$25=90,1,2)*IF(O$68="Br.kol.",AA$28,AA$27)))+1)+IF(AA$25=90,1,IF(AA$23=1,1,0)))</f>
        <v>0</v>
      </c>
      <c r="S103" s="112">
        <f>IF(P103=0,0,2*(INT((P103-AA$36-IF(AA$25=90,0,IF(AA$23=1,AA$28,0)))/(IF(AA$25=90,1,2)*AA$28))+1))</f>
        <v>0</v>
      </c>
      <c r="T103" s="110">
        <f>IF(P103=0,0,2*(INT((P103-AA$36-IF(AA$25=90,0,IF(AA$23=1,AA$28,0))-IF(P103&lt;=AA$36+(Q$62-1)*AA$28,2*AA$28,2*AA$32+AA$28))/(IF(AA$25=90,1,2)*AA$28))+2)+IF(AA$25=90,1,IF(AA$23=1,1,0)))</f>
        <v>0</v>
      </c>
      <c r="U103" s="112">
        <f>IF(P103=0,0,IF(U$71&gt;=T103,T103,U$71))</f>
        <v>0</v>
      </c>
      <c r="V103" s="55">
        <f t="shared" si="10"/>
        <v>0</v>
      </c>
      <c r="W103" s="123">
        <f>IF(P103=0,0,IF(W$71&lt;V103/2,W$71,V103/2))</f>
        <v>0</v>
      </c>
      <c r="X103" s="191">
        <f t="shared" si="13"/>
        <v>0</v>
      </c>
      <c r="Y103" s="308">
        <v>0</v>
      </c>
      <c r="Z103" s="309">
        <v>0</v>
      </c>
      <c r="AA103" s="310">
        <v>0</v>
      </c>
      <c r="AB103" s="198">
        <f t="shared" si="9"/>
        <v>0</v>
      </c>
      <c r="AC103" s="228">
        <f t="shared" si="7"/>
        <v>0</v>
      </c>
      <c r="AD103" s="10"/>
    </row>
    <row r="104" spans="1:30" ht="14.45" customHeight="1">
      <c r="A104" s="264"/>
      <c r="B104" s="14"/>
      <c r="C104" s="25"/>
      <c r="D104" s="25"/>
      <c r="E104" s="269"/>
      <c r="F104" s="25"/>
      <c r="G104" s="25"/>
      <c r="H104" s="270"/>
      <c r="I104" s="253"/>
      <c r="J104" s="201"/>
      <c r="K104" s="201"/>
      <c r="L104" s="201"/>
      <c r="M104" s="7"/>
      <c r="O104" s="334">
        <v>35</v>
      </c>
      <c r="P104" s="109">
        <f t="shared" si="8"/>
        <v>0</v>
      </c>
      <c r="Q104" s="110">
        <f>IF(P104=0,0,2*(INT((P104-AA$36-IF(AA$25=90,0,IF(AA$23=1,0,AA$28)))/(IF(AA$25=90,1,2)*AA$28))+1)+IF(AA$25=90,1,IF(AA$23=1,0,1)))</f>
        <v>0</v>
      </c>
      <c r="R104" s="111">
        <f>IF(P104=0,0,2*(INT((P104-IF(O$68="Br.kol.",AA$36,AA$35)-IF(AA$25=90,0,IF(AA$23=1,0,IF(O$68="Br.kol.",AA$28,AA$27))))/(IF(AA$25=90,1,2)*IF(O$68="Br.kol.",AA$28,AA$27)))+1)+IF(AA$25=90,1,IF(AA$23=1,0,1)))</f>
        <v>0</v>
      </c>
      <c r="S104" s="112">
        <f>IF(P104=0,0,2*(INT((P104-AA$36-IF(AA$25=90,0,IF(AA$23=1,0,AA$28)))/(IF(AA$25=90,1,2)*AA$28))+1))</f>
        <v>0</v>
      </c>
      <c r="T104" s="110">
        <f>IF(P104=0,0,2*(INT((P104-AA$36-IF(AA$25=90,0,IF(AA$23=1,0,AA$28))-IF(P104&lt;=AA$36+(Q$62-1)*AA$28,2*AA$28,2*AA$32+AA$28))/(IF(AA$25=90,1,2)*AA$28))+2)+IF(AA$25=90,1,IF(AA$23=1,0,1)))</f>
        <v>0</v>
      </c>
      <c r="U104" s="112">
        <f>IF(P104=0,0,IF(U$70&gt;=T104,T104,U$70))</f>
        <v>0</v>
      </c>
      <c r="V104" s="55">
        <f t="shared" si="10"/>
        <v>0</v>
      </c>
      <c r="W104" s="123">
        <f>IF(P104=0,0,IF(W$70&lt;V104/2,W$70,V104/2))</f>
        <v>0</v>
      </c>
      <c r="X104" s="191">
        <f t="shared" si="13"/>
        <v>0</v>
      </c>
      <c r="Y104" s="308">
        <v>0</v>
      </c>
      <c r="Z104" s="309">
        <v>0</v>
      </c>
      <c r="AA104" s="310">
        <v>0</v>
      </c>
      <c r="AB104" s="198">
        <f t="shared" si="9"/>
        <v>0</v>
      </c>
      <c r="AC104" s="228">
        <f t="shared" si="7"/>
        <v>0</v>
      </c>
      <c r="AD104" s="10"/>
    </row>
    <row r="105" spans="1:30" ht="14.45" customHeight="1">
      <c r="A105" s="264"/>
      <c r="B105" s="14"/>
      <c r="C105" s="25"/>
      <c r="D105" s="25"/>
      <c r="E105" s="269"/>
      <c r="F105" s="25"/>
      <c r="G105" s="25"/>
      <c r="H105" s="25"/>
      <c r="I105" s="253"/>
      <c r="J105" s="201"/>
      <c r="K105" s="201"/>
      <c r="L105" s="201"/>
      <c r="M105" s="7"/>
      <c r="O105" s="334">
        <v>36</v>
      </c>
      <c r="P105" s="109">
        <f t="shared" si="8"/>
        <v>0</v>
      </c>
      <c r="Q105" s="110">
        <f>IF(P105=0,0,2*(INT((P105-AA$36-IF(AA$25=90,0,IF(AA$23=1,AA$28,0)))/(IF(AA$25=90,1,2)*AA$28))+1)+IF(AA$25=90,1,IF(AA$23=1,1,0)))</f>
        <v>0</v>
      </c>
      <c r="R105" s="111">
        <f>IF(P105=0,0,2*(INT((P105-IF(O$68="Br.kol.",AA$36,AA$35)-IF(AA$25=90,0,IF(AA$23=1,IF(O$68="Br.kol.",AA$28,AA$27),0)))/(IF(AA$25=90,1,2)*IF(O$68="Br.kol.",AA$28,AA$27)))+1)+IF(AA$25=90,1,IF(AA$23=1,1,0)))</f>
        <v>0</v>
      </c>
      <c r="S105" s="112">
        <f>IF(P105=0,0,2*(INT((P105-AA$36-IF(AA$25=90,0,IF(AA$23=1,AA$28,0)))/(IF(AA$25=90,1,2)*AA$28))+1))</f>
        <v>0</v>
      </c>
      <c r="T105" s="110">
        <f>IF(P105=0,0,2*(INT((P105-AA$36-IF(AA$25=90,0,IF(AA$23=1,AA$28,0))-IF(P105&lt;=AA$36+(Q$62-1)*AA$28,2*AA$28,2*AA$32+AA$28))/(IF(AA$25=90,1,2)*AA$28))+2)+IF(AA$25=90,1,IF(AA$23=1,1,0)))</f>
        <v>0</v>
      </c>
      <c r="U105" s="112">
        <f>IF(P105=0,0,IF(U$71&gt;=T105,T105,U$71))</f>
        <v>0</v>
      </c>
      <c r="V105" s="55">
        <f t="shared" si="10"/>
        <v>0</v>
      </c>
      <c r="W105" s="123">
        <f>IF(P105=0,0,IF(W$71&lt;V105/2,W$71,V105/2))</f>
        <v>0</v>
      </c>
      <c r="X105" s="191">
        <f t="shared" si="13"/>
        <v>0</v>
      </c>
      <c r="Y105" s="308">
        <v>0</v>
      </c>
      <c r="Z105" s="309">
        <v>0</v>
      </c>
      <c r="AA105" s="310">
        <v>0</v>
      </c>
      <c r="AB105" s="198">
        <f t="shared" si="9"/>
        <v>0</v>
      </c>
      <c r="AC105" s="228">
        <f t="shared" si="7"/>
        <v>0</v>
      </c>
      <c r="AD105" s="10"/>
    </row>
    <row r="106" spans="1:30" ht="14.45" customHeight="1">
      <c r="A106" s="264"/>
      <c r="B106" s="14"/>
      <c r="C106" s="7"/>
      <c r="D106" s="7"/>
      <c r="E106" s="7"/>
      <c r="F106" s="7"/>
      <c r="G106" s="7"/>
      <c r="H106" s="7"/>
      <c r="I106" s="253"/>
      <c r="J106" s="257"/>
      <c r="K106" s="257"/>
      <c r="L106" s="257"/>
      <c r="M106" s="7"/>
      <c r="O106" s="334">
        <v>37</v>
      </c>
      <c r="P106" s="109">
        <f t="shared" si="8"/>
        <v>0</v>
      </c>
      <c r="Q106" s="110">
        <f>IF(P106=0,0,2*(INT((P106-AA$36-IF(AA$25=90,0,IF(AA$23=1,0,AA$28)))/(IF(AA$25=90,1,2)*AA$28))+1)+IF(AA$25=90,1,IF(AA$23=1,0,1)))</f>
        <v>0</v>
      </c>
      <c r="R106" s="111">
        <f>IF(P106=0,0,2*(INT((P106-IF(O$68="Br.kol.",AA$36,AA$35)-IF(AA$25=90,0,IF(AA$23=1,0,IF(O$68="Br.kol.",AA$28,AA$27))))/(IF(AA$25=90,1,2)*IF(O$68="Br.kol.",AA$28,AA$27)))+1)+IF(AA$25=90,1,IF(AA$23=1,0,1)))</f>
        <v>0</v>
      </c>
      <c r="S106" s="112">
        <f>IF(P106=0,0,2*(INT((P106-AA$36-IF(AA$25=90,0,IF(AA$23=1,0,AA$28)))/(IF(AA$25=90,1,2)*AA$28))+1))</f>
        <v>0</v>
      </c>
      <c r="T106" s="110">
        <f>IF(P106=0,0,2*(INT((P106-AA$36-IF(AA$25=90,0,IF(AA$23=1,0,AA$28))-IF(P106&lt;=AA$36+(Q$62-1)*AA$28,2*AA$28,2*AA$32+AA$28))/(IF(AA$25=90,1,2)*AA$28))+2)+IF(AA$25=90,1,IF(AA$23=1,0,1)))</f>
        <v>0</v>
      </c>
      <c r="U106" s="112">
        <f>IF(P106=0,0,IF(U$70&gt;=T106,T106,U$70))</f>
        <v>0</v>
      </c>
      <c r="V106" s="55">
        <f t="shared" si="10"/>
        <v>0</v>
      </c>
      <c r="W106" s="123">
        <f>IF(P106=0,0,IF(W$70&lt;V106/2,W$70,V106/2))</f>
        <v>0</v>
      </c>
      <c r="X106" s="191">
        <f t="shared" si="13"/>
        <v>0</v>
      </c>
      <c r="Y106" s="308">
        <v>0</v>
      </c>
      <c r="Z106" s="309">
        <v>0</v>
      </c>
      <c r="AA106" s="310">
        <v>0</v>
      </c>
      <c r="AB106" s="198">
        <f t="shared" si="9"/>
        <v>0</v>
      </c>
      <c r="AC106" s="228">
        <f t="shared" si="7"/>
        <v>0</v>
      </c>
      <c r="AD106" s="10"/>
    </row>
    <row r="107" spans="1:30" ht="14.45" customHeight="1">
      <c r="A107" s="264"/>
      <c r="B107" s="14"/>
      <c r="C107" s="7"/>
      <c r="D107" s="7"/>
      <c r="E107" s="7"/>
      <c r="F107" s="7"/>
      <c r="G107" s="7"/>
      <c r="H107" s="7"/>
      <c r="I107" s="253"/>
      <c r="J107" s="257"/>
      <c r="K107" s="257"/>
      <c r="L107" s="257"/>
      <c r="M107" s="7"/>
      <c r="O107" s="334">
        <v>38</v>
      </c>
      <c r="P107" s="109">
        <f t="shared" si="8"/>
        <v>0</v>
      </c>
      <c r="Q107" s="110">
        <f>IF(P107=0,0,2*(INT((P107-AA$36-IF(AA$25=90,0,IF(AA$23=1,AA$28,0)))/(IF(AA$25=90,1,2)*AA$28))+1)+IF(AA$25=90,1,IF(AA$23=1,1,0)))</f>
        <v>0</v>
      </c>
      <c r="R107" s="111">
        <f>IF(P107=0,0,2*(INT((P107-IF(O$68="Br.kol.",AA$36,AA$35)-IF(AA$25=90,0,IF(AA$23=1,IF(O$68="Br.kol.",AA$28,AA$27),0)))/(IF(AA$25=90,1,2)*IF(O$68="Br.kol.",AA$28,AA$27)))+1)+IF(AA$25=90,1,IF(AA$23=1,1,0)))</f>
        <v>0</v>
      </c>
      <c r="S107" s="112">
        <f>IF(P107=0,0,2*(INT((P107-AA$36-IF(AA$25=90,0,IF(AA$23=1,AA$28,0)))/(IF(AA$25=90,1,2)*AA$28))+1))</f>
        <v>0</v>
      </c>
      <c r="T107" s="110">
        <f>IF(P107=0,0,2*(INT((P107-AA$36-IF(AA$25=90,0,IF(AA$23=1,AA$28,0))-IF(P107&lt;=AA$36+(Q$62-1)*AA$28,2*AA$28,2*AA$32+AA$28))/(IF(AA$25=90,1,2)*AA$28))+2)+IF(AA$25=90,1,IF(AA$23=1,1,0)))</f>
        <v>0</v>
      </c>
      <c r="U107" s="112">
        <f>IF(P107=0,0,IF(U$71&gt;=T107,T107,U$71))</f>
        <v>0</v>
      </c>
      <c r="V107" s="55">
        <f t="shared" si="10"/>
        <v>0</v>
      </c>
      <c r="W107" s="123">
        <f>IF(P107=0,0,IF(W$71&lt;V107/2,W$71,V107/2))</f>
        <v>0</v>
      </c>
      <c r="X107" s="191">
        <f t="shared" si="13"/>
        <v>0</v>
      </c>
      <c r="Y107" s="308">
        <v>0</v>
      </c>
      <c r="Z107" s="309">
        <v>0</v>
      </c>
      <c r="AA107" s="310">
        <v>0</v>
      </c>
      <c r="AB107" s="198">
        <f t="shared" si="9"/>
        <v>0</v>
      </c>
      <c r="AC107" s="228">
        <f t="shared" si="7"/>
        <v>0</v>
      </c>
      <c r="AD107" s="10"/>
    </row>
    <row r="108" spans="1:30" ht="14.45" customHeight="1">
      <c r="A108" s="264"/>
      <c r="B108" s="25"/>
      <c r="C108" s="7"/>
      <c r="D108" s="7"/>
      <c r="E108" s="258"/>
      <c r="F108" s="7"/>
      <c r="G108" s="25"/>
      <c r="H108" s="270"/>
      <c r="I108" s="253"/>
      <c r="J108" s="271"/>
      <c r="K108" s="271"/>
      <c r="L108" s="271"/>
      <c r="M108" s="7"/>
      <c r="O108" s="334">
        <v>39</v>
      </c>
      <c r="P108" s="109">
        <f t="shared" si="8"/>
        <v>0</v>
      </c>
      <c r="Q108" s="110">
        <f>IF(P108=0,0,2*(INT((P108-AA$36-IF(AA$25=90,0,IF(AA$23=1,0,AA$28)))/(IF(AA$25=90,1,2)*AA$28))+1)+IF(AA$25=90,1,IF(AA$23=1,0,1)))</f>
        <v>0</v>
      </c>
      <c r="R108" s="111">
        <f>IF(P108=0,0,2*(INT((P108-IF(O$68="Br.kol.",AA$36,AA$35)-IF(AA$25=90,0,IF(AA$23=1,0,IF(O$68="Br.kol.",AA$28,AA$27))))/(IF(AA$25=90,1,2)*IF(O$68="Br.kol.",AA$28,AA$27)))+1)+IF(AA$25=90,1,IF(AA$23=1,0,1)))</f>
        <v>0</v>
      </c>
      <c r="S108" s="112">
        <f>IF(P108=0,0,2*(INT((P108-AA$36-IF(AA$25=90,0,IF(AA$23=1,0,AA$28)))/(IF(AA$25=90,1,2)*AA$28))+1))</f>
        <v>0</v>
      </c>
      <c r="T108" s="110">
        <f>IF(P108=0,0,2*(INT((P108-AA$36-IF(AA$25=90,0,IF(AA$23=1,0,AA$28))-IF(P108&lt;=AA$36+(Q$62-1)*AA$28,2*AA$28,2*AA$32+AA$28))/(IF(AA$25=90,1,2)*AA$28))+2)+IF(AA$25=90,1,IF(AA$23=1,0,1)))</f>
        <v>0</v>
      </c>
      <c r="U108" s="112">
        <f>IF(P108=0,0,IF(U$70&gt;=T108,T108,U$70))</f>
        <v>0</v>
      </c>
      <c r="V108" s="55">
        <f t="shared" si="10"/>
        <v>0</v>
      </c>
      <c r="W108" s="123">
        <f>IF(P108=0,0,IF(W$70&lt;V108/2,W$70,V108/2))</f>
        <v>0</v>
      </c>
      <c r="X108" s="191">
        <f t="shared" si="13"/>
        <v>0</v>
      </c>
      <c r="Y108" s="308">
        <v>0</v>
      </c>
      <c r="Z108" s="309">
        <v>0</v>
      </c>
      <c r="AA108" s="310">
        <v>0</v>
      </c>
      <c r="AB108" s="198">
        <f t="shared" si="9"/>
        <v>0</v>
      </c>
      <c r="AC108" s="228">
        <f t="shared" si="7"/>
        <v>0</v>
      </c>
      <c r="AD108" s="10"/>
    </row>
    <row r="109" spans="1:30" ht="14.45" customHeight="1" thickBot="1">
      <c r="A109" s="264"/>
      <c r="B109" s="25"/>
      <c r="C109" s="7"/>
      <c r="D109" s="7"/>
      <c r="E109" s="7"/>
      <c r="F109" s="7"/>
      <c r="G109" s="25"/>
      <c r="H109" s="270"/>
      <c r="I109" s="253"/>
      <c r="J109" s="271"/>
      <c r="K109" s="271"/>
      <c r="L109" s="271"/>
      <c r="M109" s="7"/>
      <c r="O109" s="334">
        <v>40</v>
      </c>
      <c r="P109" s="109">
        <f t="shared" si="8"/>
        <v>0</v>
      </c>
      <c r="Q109" s="110">
        <f>IF(P109=0,0,2*(INT((P109-AA$36-IF(AA$25=90,0,IF(AA$23=1,AA$28,0)))/(IF(AA$25=90,1,2)*AA$28))+1)+IF(AA$25=90,1,IF(AA$23=1,1,0)))</f>
        <v>0</v>
      </c>
      <c r="R109" s="111">
        <f>IF(P109=0,0,2*(INT((P109-IF(O$68="Br.kol.",AA$36,AA$35)-IF(AA$25=90,0,IF(AA$23=1,IF(O$68="Br.kol.",AA$28,AA$27),0)))/(IF(AA$25=90,1,2)*IF(O$68="Br.kol.",AA$28,AA$27)))+1)+IF(AA$25=90,1,IF(AA$23=1,1,0)))</f>
        <v>0</v>
      </c>
      <c r="S109" s="112">
        <f>IF(P109=0,0,2*(INT((P109-AA$36-IF(AA$25=90,0,IF(AA$23=1,AA$28,0)))/(IF(AA$25=90,1,2)*AA$28))+1))</f>
        <v>0</v>
      </c>
      <c r="T109" s="110">
        <f>IF(P109=0,0,2*(INT((P109-AA$36-IF(AA$25=90,0,IF(AA$23=1,AA$28,0))-IF(P109&lt;=AA$36+(Q$62-1)*AA$28,2*AA$28,2*AA$32+AA$28))/(IF(AA$25=90,1,2)*AA$28))+2)+IF(AA$25=90,1,IF(AA$23=1,1,0)))</f>
        <v>0</v>
      </c>
      <c r="U109" s="112">
        <f>IF(P109=0,0,IF(U$71&gt;=T109,T109,U$71))</f>
        <v>0</v>
      </c>
      <c r="V109" s="55">
        <f t="shared" si="10"/>
        <v>0</v>
      </c>
      <c r="W109" s="123">
        <f>IF(P109=0,0,IF(W$71&lt;V109/2,W$71,V109/2))</f>
        <v>0</v>
      </c>
      <c r="X109" s="282">
        <f t="shared" si="13"/>
        <v>0</v>
      </c>
      <c r="Y109" s="311">
        <v>0</v>
      </c>
      <c r="Z109" s="312">
        <v>0</v>
      </c>
      <c r="AA109" s="313">
        <v>0</v>
      </c>
      <c r="AB109" s="200">
        <f t="shared" si="9"/>
        <v>0</v>
      </c>
      <c r="AC109" s="229">
        <f t="shared" si="7"/>
        <v>0</v>
      </c>
      <c r="AD109" s="10"/>
    </row>
    <row r="110" spans="1:30" ht="14.45" customHeight="1" thickBot="1">
      <c r="A110" s="7"/>
      <c r="B110" s="7"/>
      <c r="C110" s="7"/>
      <c r="D110" s="7"/>
      <c r="E110" s="7"/>
      <c r="F110" s="7"/>
      <c r="G110" s="7"/>
      <c r="H110" s="7"/>
      <c r="I110" s="272"/>
      <c r="J110" s="7"/>
      <c r="K110" s="7"/>
      <c r="L110" s="7"/>
      <c r="M110" s="7"/>
      <c r="O110" s="337" t="s">
        <v>166</v>
      </c>
      <c r="P110" s="338" t="s">
        <v>132</v>
      </c>
      <c r="Q110" s="89" t="s">
        <v>135</v>
      </c>
      <c r="R110" s="90" t="s">
        <v>136</v>
      </c>
      <c r="S110" s="90" t="s">
        <v>137</v>
      </c>
      <c r="T110" s="89" t="s">
        <v>138</v>
      </c>
      <c r="U110" s="91" t="s">
        <v>139</v>
      </c>
      <c r="V110" s="89" t="s">
        <v>140</v>
      </c>
      <c r="W110" s="91" t="s">
        <v>141</v>
      </c>
      <c r="X110" s="192" t="s">
        <v>136</v>
      </c>
      <c r="Y110" s="118">
        <f>SUM(Y70:Y109)</f>
        <v>487</v>
      </c>
      <c r="Z110" s="124">
        <f>SUM(Z70:Z109)</f>
        <v>457</v>
      </c>
      <c r="AA110" s="120">
        <f>SUM(AA70:AA109)</f>
        <v>153</v>
      </c>
      <c r="AD110" s="10"/>
    </row>
    <row r="111" spans="1:30" ht="14.45" customHeight="1" thickBot="1">
      <c r="A111" s="264"/>
      <c r="B111" s="14"/>
      <c r="C111" s="7"/>
      <c r="D111" s="7"/>
      <c r="E111" s="7"/>
      <c r="F111" s="7"/>
      <c r="G111" s="252"/>
      <c r="H111" s="259"/>
      <c r="I111" s="260"/>
      <c r="J111" s="358"/>
      <c r="K111" s="358"/>
      <c r="L111" s="358"/>
      <c r="M111" s="7"/>
      <c r="O111" s="117">
        <f>Y11</f>
        <v>0.8</v>
      </c>
      <c r="P111" s="339" t="s">
        <v>133</v>
      </c>
      <c r="Q111" s="118">
        <f t="shared" ref="Q111:W111" si="14">SUM(Q70:Q109)</f>
        <v>487</v>
      </c>
      <c r="R111" s="124">
        <f t="shared" si="14"/>
        <v>487</v>
      </c>
      <c r="S111" s="124">
        <f t="shared" si="14"/>
        <v>478</v>
      </c>
      <c r="T111" s="118">
        <f t="shared" si="14"/>
        <v>457</v>
      </c>
      <c r="U111" s="120">
        <f t="shared" si="14"/>
        <v>153</v>
      </c>
      <c r="V111" s="118">
        <f t="shared" si="14"/>
        <v>442</v>
      </c>
      <c r="W111" s="120">
        <f t="shared" si="14"/>
        <v>107</v>
      </c>
      <c r="X111" s="340" t="s">
        <v>246</v>
      </c>
      <c r="Y111" s="171" t="str">
        <f>Y63</f>
        <v/>
      </c>
      <c r="Z111" s="193" t="str">
        <f>Z63</f>
        <v>KI =KVI</v>
      </c>
      <c r="AA111" s="172" t="str">
        <f>AA63</f>
        <v>KIII=KIV</v>
      </c>
      <c r="AD111" s="10"/>
    </row>
    <row r="112" spans="1:30" ht="14.45" customHeight="1" thickBot="1">
      <c r="A112" s="264"/>
      <c r="B112" s="14"/>
      <c r="C112" s="7"/>
      <c r="D112" s="7"/>
      <c r="E112" s="25"/>
      <c r="F112" s="7"/>
      <c r="G112" s="252"/>
      <c r="H112" s="259"/>
      <c r="I112" s="260"/>
      <c r="J112" s="358"/>
      <c r="K112" s="358"/>
      <c r="L112" s="358"/>
      <c r="M112" s="7"/>
      <c r="P112" s="220" t="s">
        <v>256</v>
      </c>
      <c r="X112" s="341" t="s">
        <v>252</v>
      </c>
      <c r="Y112" s="315"/>
      <c r="Z112" s="312">
        <v>6</v>
      </c>
      <c r="AA112" s="313">
        <v>4</v>
      </c>
      <c r="AD112" s="10"/>
    </row>
    <row r="113" spans="1:30" ht="14.45" customHeight="1">
      <c r="A113" s="264"/>
      <c r="B113" s="14"/>
      <c r="C113" s="7"/>
      <c r="D113" s="7"/>
      <c r="E113" s="7"/>
      <c r="F113" s="7"/>
      <c r="G113" s="252"/>
      <c r="H113" s="259"/>
      <c r="I113" s="260"/>
      <c r="J113" s="358"/>
      <c r="K113" s="358"/>
      <c r="L113" s="358"/>
      <c r="M113" s="7"/>
      <c r="O113" s="49" t="s">
        <v>257</v>
      </c>
      <c r="P113" s="210"/>
      <c r="Q113" s="221" t="s">
        <v>258</v>
      </c>
      <c r="R113" s="314">
        <v>0.25</v>
      </c>
      <c r="S113" s="221" t="s">
        <v>263</v>
      </c>
      <c r="T113" s="210"/>
      <c r="U113" s="222" t="s">
        <v>261</v>
      </c>
      <c r="V113" s="73">
        <f>R113*AA15</f>
        <v>0.19700000000000001</v>
      </c>
      <c r="W113" s="221" t="s">
        <v>259</v>
      </c>
      <c r="X113" s="210"/>
      <c r="Y113" s="45"/>
      <c r="Z113" s="54" t="str">
        <f>IF(O68="Br.kol.","Nko","Nro")</f>
        <v>Nko</v>
      </c>
      <c r="AA113" s="115">
        <f>ROUND((AA15/2-V113-AA35)/AA27+1,0)</f>
        <v>9</v>
      </c>
      <c r="AD113" s="10"/>
    </row>
    <row r="114" spans="1:30" ht="14.45" customHeight="1">
      <c r="A114" s="7"/>
      <c r="B114" s="7"/>
      <c r="C114" s="7"/>
      <c r="D114" s="7"/>
      <c r="E114" s="7"/>
      <c r="F114" s="7"/>
      <c r="G114" s="7"/>
      <c r="H114" s="7"/>
      <c r="I114" s="272"/>
      <c r="J114" s="7"/>
      <c r="K114" s="7"/>
      <c r="L114" s="7"/>
      <c r="M114" s="7"/>
      <c r="O114" s="50" t="s">
        <v>264</v>
      </c>
      <c r="P114" s="212"/>
      <c r="Q114" s="223" t="s">
        <v>265</v>
      </c>
      <c r="R114" s="227">
        <f>V114/AA15</f>
        <v>0.26142131979695438</v>
      </c>
      <c r="S114" s="224" t="s">
        <v>262</v>
      </c>
      <c r="T114" s="212"/>
      <c r="U114" s="225" t="s">
        <v>260</v>
      </c>
      <c r="V114" s="73">
        <f>AA15/2-AA35-AA27*(AA113-1)</f>
        <v>0.20600000000000004</v>
      </c>
      <c r="W114" s="224" t="s">
        <v>266</v>
      </c>
      <c r="X114" s="212"/>
      <c r="Y114" s="212"/>
      <c r="Z114" s="226" t="s">
        <v>267</v>
      </c>
      <c r="AA114" s="72">
        <f>AC67</f>
        <v>193</v>
      </c>
      <c r="AD114" s="10"/>
    </row>
    <row r="115" spans="1:30" ht="14.45" customHeight="1">
      <c r="A115" s="264"/>
      <c r="B115" s="14"/>
      <c r="C115" s="31"/>
      <c r="D115" s="25"/>
      <c r="E115" s="25"/>
      <c r="F115" s="25"/>
      <c r="G115" s="273"/>
      <c r="H115" s="261"/>
      <c r="I115" s="254"/>
      <c r="J115" s="257"/>
      <c r="K115" s="257"/>
      <c r="L115" s="257"/>
      <c r="M115" s="7"/>
      <c r="AD115" s="10"/>
    </row>
    <row r="116" spans="1:30" ht="14.45" customHeight="1">
      <c r="A116" s="264"/>
      <c r="B116" s="14"/>
      <c r="C116" s="7"/>
      <c r="D116" s="7"/>
      <c r="E116" s="7"/>
      <c r="F116" s="7"/>
      <c r="G116" s="7"/>
      <c r="H116" s="7"/>
      <c r="I116" s="254"/>
      <c r="J116" s="242"/>
      <c r="K116" s="242"/>
      <c r="L116" s="242"/>
      <c r="M116" s="7"/>
      <c r="AD116" s="10"/>
    </row>
    <row r="117" spans="1:30" ht="14.25" customHeight="1">
      <c r="A117" s="264"/>
      <c r="B117" s="14"/>
      <c r="C117" s="41"/>
      <c r="D117" s="25"/>
      <c r="E117" s="25"/>
      <c r="F117" s="25"/>
      <c r="G117" s="7"/>
      <c r="H117" s="265"/>
      <c r="I117" s="253"/>
      <c r="J117" s="255"/>
      <c r="K117" s="255"/>
      <c r="L117" s="255"/>
      <c r="M117" s="7"/>
      <c r="AD117" s="10"/>
    </row>
    <row r="118" spans="1:30" ht="15.75" customHeight="1">
      <c r="A118" s="264"/>
      <c r="B118" s="14"/>
      <c r="C118" s="7"/>
      <c r="D118" s="7"/>
      <c r="E118" s="7"/>
      <c r="F118" s="7"/>
      <c r="G118" s="7"/>
      <c r="H118" s="265"/>
      <c r="I118" s="253"/>
      <c r="J118" s="255"/>
      <c r="K118" s="255"/>
      <c r="L118" s="255"/>
      <c r="M118" s="7"/>
      <c r="AD118" s="10"/>
    </row>
    <row r="119" spans="1:30" ht="14.45" customHeight="1">
      <c r="A119" s="264"/>
      <c r="B119" s="14"/>
      <c r="C119" s="7"/>
      <c r="D119" s="7"/>
      <c r="E119" s="7"/>
      <c r="F119" s="58"/>
      <c r="G119" s="7"/>
      <c r="H119" s="58"/>
      <c r="I119" s="253"/>
      <c r="J119" s="257"/>
      <c r="K119" s="257"/>
      <c r="L119" s="257"/>
      <c r="M119" s="7"/>
      <c r="AD119" s="10"/>
    </row>
    <row r="120" spans="1:30" ht="14.45" customHeight="1">
      <c r="A120" s="7"/>
      <c r="B120" s="7"/>
      <c r="C120" s="7"/>
      <c r="D120" s="7"/>
      <c r="E120" s="7"/>
      <c r="F120" s="7"/>
      <c r="G120" s="7"/>
      <c r="H120" s="7"/>
      <c r="I120" s="272"/>
      <c r="J120" s="7"/>
      <c r="K120" s="7"/>
      <c r="L120" s="7"/>
      <c r="M120" s="7"/>
      <c r="AD120" s="10"/>
    </row>
    <row r="121" spans="1:30" ht="14.45" customHeight="1">
      <c r="A121" s="264"/>
      <c r="B121" s="14"/>
      <c r="C121" s="41"/>
      <c r="D121" s="25"/>
      <c r="E121" s="25"/>
      <c r="F121" s="25"/>
      <c r="G121" s="7"/>
      <c r="H121" s="265"/>
      <c r="I121" s="253"/>
      <c r="J121" s="262"/>
      <c r="K121" s="262"/>
      <c r="L121" s="262"/>
      <c r="M121" s="7"/>
      <c r="AD121" s="10"/>
    </row>
    <row r="122" spans="1:30" ht="14.45" customHeight="1">
      <c r="A122" s="264"/>
      <c r="B122" s="14"/>
      <c r="C122" s="7"/>
      <c r="D122" s="7"/>
      <c r="E122" s="7"/>
      <c r="F122" s="7"/>
      <c r="G122" s="7"/>
      <c r="H122" s="265"/>
      <c r="I122" s="253"/>
      <c r="J122" s="263"/>
      <c r="K122" s="263"/>
      <c r="L122" s="263"/>
      <c r="M122" s="7"/>
      <c r="AD122" s="10"/>
    </row>
    <row r="123" spans="1:30" ht="14.45" customHeight="1">
      <c r="A123" s="264"/>
      <c r="B123" s="14"/>
      <c r="C123" s="7"/>
      <c r="D123" s="274"/>
      <c r="E123" s="7"/>
      <c r="F123" s="7"/>
      <c r="G123" s="274"/>
      <c r="H123" s="265"/>
      <c r="I123" s="253"/>
      <c r="J123" s="262"/>
      <c r="K123" s="262"/>
      <c r="L123" s="262"/>
      <c r="M123" s="7"/>
      <c r="AD123" s="10"/>
    </row>
    <row r="124" spans="1:30" ht="14.45" customHeight="1">
      <c r="A124" s="264"/>
      <c r="B124" s="275"/>
      <c r="C124" s="7"/>
      <c r="D124" s="7"/>
      <c r="E124" s="7"/>
      <c r="F124" s="7"/>
      <c r="G124" s="7"/>
      <c r="H124" s="265"/>
      <c r="I124" s="253"/>
      <c r="J124" s="262"/>
      <c r="K124" s="262"/>
      <c r="L124" s="262"/>
      <c r="M124" s="7"/>
      <c r="AD124" s="10"/>
    </row>
    <row r="125" spans="1:30" ht="14.45" customHeight="1">
      <c r="A125" s="264"/>
      <c r="B125" s="275"/>
      <c r="C125" s="7"/>
      <c r="D125" s="7"/>
      <c r="E125" s="7"/>
      <c r="F125" s="7"/>
      <c r="G125" s="7"/>
      <c r="H125" s="265"/>
      <c r="I125" s="253"/>
      <c r="J125" s="255"/>
      <c r="K125" s="255"/>
      <c r="L125" s="255"/>
      <c r="M125" s="7"/>
      <c r="AD125" s="10"/>
    </row>
    <row r="126" spans="1:30" ht="14.45" customHeight="1">
      <c r="A126" s="264"/>
      <c r="B126" s="275"/>
      <c r="C126" s="7"/>
      <c r="D126" s="7"/>
      <c r="E126" s="7"/>
      <c r="F126" s="7"/>
      <c r="G126" s="7"/>
      <c r="H126" s="265"/>
      <c r="I126" s="253"/>
      <c r="J126" s="262"/>
      <c r="K126" s="262"/>
      <c r="L126" s="262"/>
      <c r="M126" s="7"/>
      <c r="AD126" s="10"/>
    </row>
    <row r="127" spans="1:30" ht="14.45" customHeight="1">
      <c r="A127" s="264"/>
      <c r="B127" s="275"/>
      <c r="C127" s="7"/>
      <c r="D127" s="7"/>
      <c r="E127" s="276"/>
      <c r="F127" s="7"/>
      <c r="G127" s="7"/>
      <c r="H127" s="265"/>
      <c r="I127" s="253"/>
      <c r="J127" s="255"/>
      <c r="K127" s="255"/>
      <c r="L127" s="255"/>
      <c r="M127" s="277"/>
      <c r="AD127" s="10"/>
    </row>
    <row r="128" spans="1:30" ht="14.4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277"/>
      <c r="AD128" s="10"/>
    </row>
    <row r="129" ht="14.45" customHeight="1"/>
    <row r="130" ht="14.45" customHeight="1"/>
    <row r="131" ht="14.45" customHeight="1"/>
    <row r="132" ht="14.45" customHeight="1"/>
    <row r="133" ht="14.45" customHeight="1"/>
    <row r="134" ht="14.45" customHeight="1"/>
    <row r="135" ht="14.45" customHeight="1"/>
    <row r="136" ht="14.45" customHeight="1"/>
    <row r="137" ht="14.45" customHeight="1"/>
    <row r="138" ht="14.45" customHeight="1"/>
    <row r="139" ht="14.45" customHeight="1"/>
    <row r="140" ht="14.45" customHeight="1"/>
    <row r="141" ht="14.45" customHeight="1"/>
    <row r="142" ht="14.45" customHeight="1"/>
    <row r="143" ht="14.45" customHeight="1"/>
    <row r="144" ht="14.45" customHeight="1"/>
    <row r="145" ht="14.45" customHeight="1"/>
    <row r="146" ht="14.45" customHeight="1"/>
    <row r="147" ht="14.45" customHeight="1"/>
    <row r="148" ht="14.45" customHeight="1"/>
    <row r="149" ht="14.45" customHeight="1"/>
    <row r="150" ht="14.45" customHeight="1"/>
    <row r="151" ht="14.45" customHeight="1"/>
    <row r="152" ht="14.45" customHeight="1"/>
    <row r="153" ht="14.45" customHeight="1"/>
    <row r="154" ht="14.45" customHeight="1"/>
    <row r="155" ht="14.45" customHeight="1"/>
    <row r="156" ht="14.45" customHeight="1"/>
    <row r="157" ht="14.45" customHeight="1"/>
    <row r="158" ht="14.45" customHeight="1"/>
    <row r="159" ht="14.45" customHeight="1"/>
    <row r="160" ht="14.45" customHeight="1"/>
    <row r="161" ht="14.45" customHeight="1"/>
    <row r="162" ht="14.45" customHeight="1"/>
    <row r="163" ht="14.45" customHeight="1"/>
    <row r="164" ht="14.45" customHeight="1"/>
    <row r="165" ht="14.45" customHeight="1"/>
    <row r="166" ht="14.45" customHeight="1"/>
    <row r="167" ht="14.45" customHeight="1"/>
    <row r="168" ht="14.45" customHeight="1"/>
    <row r="169" ht="14.45" customHeight="1"/>
    <row r="170" ht="14.45" customHeight="1"/>
    <row r="171" ht="14.45" customHeight="1"/>
    <row r="172" ht="14.45" customHeight="1"/>
    <row r="173" ht="14.45" customHeight="1"/>
    <row r="174" ht="14.45" customHeight="1"/>
    <row r="175" ht="14.45" customHeight="1"/>
    <row r="176" ht="14.45" customHeight="1"/>
    <row r="177" spans="24:24" ht="14.45" customHeight="1"/>
    <row r="178" spans="24:24" ht="14.45" customHeight="1"/>
    <row r="179" spans="24:24" ht="14.45" customHeight="1">
      <c r="X179" s="343"/>
    </row>
    <row r="180" spans="24:24" ht="14.45" customHeight="1"/>
    <row r="181" spans="24:24" ht="14.45" customHeight="1"/>
    <row r="182" spans="24:24" ht="14.45" customHeight="1"/>
    <row r="183" spans="24:24" ht="14.45" customHeight="1"/>
    <row r="184" spans="24:24" ht="14.45" customHeight="1"/>
    <row r="185" spans="24:24" ht="14.45" customHeight="1"/>
    <row r="186" spans="24:24" ht="14.45" customHeight="1"/>
    <row r="187" spans="24:24" ht="14.45" customHeight="1"/>
    <row r="188" spans="24:24" ht="14.45" customHeight="1"/>
    <row r="189" spans="24:24" ht="14.45" customHeight="1"/>
    <row r="190" spans="24:24" ht="14.45" customHeight="1"/>
    <row r="191" spans="24:24" ht="14.45" customHeight="1"/>
    <row r="192" spans="24:24" ht="14.45" customHeight="1"/>
    <row r="193" ht="14.45" customHeight="1"/>
    <row r="194" ht="14.45" customHeight="1"/>
    <row r="195" ht="14.45" customHeight="1"/>
    <row r="196" ht="14.45" customHeight="1"/>
    <row r="197" ht="14.45" customHeight="1"/>
    <row r="198" ht="14.45" customHeight="1"/>
    <row r="199" ht="14.45" customHeight="1"/>
    <row r="200" ht="14.45" customHeight="1"/>
    <row r="201" ht="14.45" customHeight="1"/>
    <row r="202" ht="14.45" customHeight="1"/>
    <row r="203" ht="14.45" customHeight="1"/>
    <row r="204" ht="14.45" customHeight="1"/>
    <row r="205" ht="14.45" customHeight="1"/>
    <row r="206" ht="14.45" customHeight="1"/>
    <row r="207" ht="14.45" customHeight="1"/>
    <row r="208" ht="14.45" customHeight="1"/>
    <row r="209" ht="14.45" customHeight="1"/>
    <row r="210" ht="14.45" customHeight="1"/>
    <row r="211" ht="14.45" customHeight="1"/>
    <row r="212" ht="14.45" customHeight="1"/>
    <row r="213" ht="14.45" customHeight="1"/>
    <row r="214" ht="14.45" customHeight="1"/>
    <row r="215" ht="14.45" customHeight="1"/>
    <row r="216" ht="14.45" customHeight="1"/>
    <row r="217" ht="14.45" customHeight="1"/>
    <row r="218" ht="14.45" customHeight="1"/>
    <row r="219" ht="14.45" customHeight="1"/>
    <row r="220" ht="14.45" customHeight="1"/>
    <row r="221" ht="14.45" customHeight="1"/>
    <row r="222" ht="14.45" customHeight="1"/>
    <row r="223" ht="14.45" customHeight="1"/>
    <row r="224" ht="14.45" customHeight="1"/>
    <row r="225" ht="14.45" customHeight="1"/>
    <row r="226" ht="14.45" customHeight="1"/>
    <row r="227" ht="14.45" customHeight="1"/>
    <row r="228" ht="14.45" customHeight="1"/>
    <row r="229" ht="14.45" customHeight="1"/>
    <row r="230" ht="14.45" customHeight="1"/>
    <row r="231" ht="14.45" customHeight="1"/>
    <row r="232" ht="14.45" customHeight="1"/>
    <row r="233" ht="14.45" customHeight="1"/>
    <row r="234" ht="14.45" customHeight="1"/>
    <row r="235" ht="14.45" customHeight="1"/>
    <row r="236" ht="14.45" customHeight="1"/>
    <row r="237" ht="14.45" customHeight="1"/>
    <row r="238" ht="14.45" customHeight="1"/>
    <row r="239" ht="14.45" customHeight="1"/>
    <row r="240" ht="14.45" customHeight="1"/>
    <row r="241" ht="14.45" customHeight="1"/>
    <row r="242" ht="14.45" customHeight="1"/>
    <row r="243" ht="14.45" customHeight="1"/>
    <row r="244" ht="14.45" customHeight="1"/>
    <row r="245" ht="14.45" customHeight="1"/>
    <row r="246" ht="14.45" customHeight="1"/>
    <row r="247" ht="14.45" customHeight="1"/>
    <row r="248" ht="14.45" customHeight="1"/>
    <row r="249" ht="14.45" customHeight="1"/>
    <row r="250" ht="14.45" customHeight="1"/>
    <row r="251" ht="14.45" customHeight="1"/>
    <row r="252" ht="14.45" customHeight="1"/>
    <row r="253" ht="14.45" customHeight="1"/>
    <row r="254" ht="14.45" customHeight="1"/>
    <row r="255" ht="14.45" customHeight="1"/>
    <row r="256" ht="14.45" customHeight="1"/>
    <row r="257" ht="14.45" customHeight="1"/>
    <row r="258" ht="14.45" customHeight="1"/>
    <row r="259" ht="14.45" customHeight="1"/>
    <row r="260" ht="14.45" customHeight="1"/>
    <row r="261" ht="14.45" customHeight="1"/>
    <row r="262" ht="14.45" customHeight="1"/>
    <row r="263" ht="14.45" customHeight="1"/>
    <row r="264" ht="14.45" customHeight="1"/>
    <row r="265" ht="14.45" customHeight="1"/>
    <row r="266" ht="14.45" customHeight="1"/>
    <row r="267" ht="14.45" customHeight="1"/>
    <row r="268" ht="14.45" customHeight="1"/>
    <row r="269" ht="14.45" customHeight="1"/>
    <row r="270" ht="14.45" customHeight="1"/>
    <row r="271" ht="14.45" customHeight="1"/>
    <row r="272" ht="14.45" customHeight="1"/>
    <row r="273" ht="14.45" customHeight="1"/>
    <row r="274" ht="14.45" customHeight="1"/>
    <row r="275" ht="14.45" customHeight="1"/>
    <row r="276" ht="14.45" customHeight="1"/>
    <row r="277" ht="14.45" customHeight="1"/>
    <row r="278" ht="14.45" customHeight="1"/>
    <row r="279" ht="14.45" customHeight="1"/>
    <row r="280" ht="14.45" customHeight="1"/>
    <row r="281" ht="14.45" customHeight="1"/>
    <row r="282" ht="14.45" customHeight="1"/>
    <row r="283" ht="14.45" customHeight="1"/>
    <row r="284" ht="14.45" customHeight="1"/>
    <row r="285" ht="14.45" customHeight="1"/>
    <row r="286" ht="14.45" customHeight="1"/>
    <row r="287" ht="14.45" customHeight="1"/>
    <row r="288" ht="14.45" customHeight="1"/>
    <row r="289" ht="14.45" customHeight="1"/>
    <row r="290" ht="14.45" customHeight="1"/>
    <row r="291" ht="14.45" customHeight="1"/>
    <row r="292" ht="14.45" customHeight="1"/>
    <row r="293" ht="14.45" customHeight="1"/>
    <row r="294" ht="14.45" customHeight="1"/>
    <row r="295" ht="14.45" customHeight="1"/>
    <row r="296" ht="14.45" customHeight="1"/>
    <row r="297" ht="14.45" customHeight="1"/>
    <row r="298" ht="14.45" customHeight="1"/>
    <row r="299" ht="14.45" customHeight="1"/>
    <row r="300" ht="14.45" customHeight="1"/>
    <row r="301" ht="14.45" customHeight="1"/>
    <row r="302" ht="14.45" customHeight="1"/>
    <row r="303" ht="14.45" customHeight="1"/>
    <row r="304" ht="14.45" customHeight="1"/>
    <row r="305" ht="14.45" customHeight="1"/>
    <row r="306" ht="14.45" customHeight="1"/>
    <row r="307" ht="14.45" customHeight="1"/>
    <row r="308" ht="14.45" customHeight="1"/>
    <row r="309" ht="14.45" customHeight="1"/>
    <row r="310" ht="14.45" customHeight="1"/>
    <row r="311" ht="14.45" customHeight="1"/>
    <row r="312" ht="14.45" customHeight="1"/>
    <row r="313" ht="14.45" customHeight="1"/>
    <row r="314" ht="14.45" customHeight="1"/>
    <row r="315" ht="14.45" customHeight="1"/>
    <row r="316" ht="14.45" customHeight="1"/>
    <row r="317" ht="14.45" customHeight="1"/>
    <row r="318" ht="14.45" customHeight="1"/>
    <row r="319" ht="14.45" customHeight="1"/>
    <row r="320" ht="14.45" customHeight="1"/>
    <row r="321" ht="14.45" customHeight="1"/>
    <row r="322" ht="14.45" customHeight="1"/>
    <row r="323" ht="14.45" customHeight="1"/>
    <row r="324" ht="14.45" customHeight="1"/>
    <row r="325" ht="14.45" customHeight="1"/>
    <row r="326" ht="14.45" customHeight="1"/>
    <row r="327" ht="14.45" customHeight="1"/>
    <row r="328" ht="14.45" customHeight="1"/>
    <row r="329" ht="14.45" customHeight="1"/>
    <row r="330" ht="14.45" customHeight="1"/>
    <row r="331" ht="14.45" customHeight="1"/>
    <row r="332" ht="14.45" customHeight="1"/>
    <row r="333" ht="14.45" customHeight="1"/>
    <row r="334" ht="14.45" customHeight="1"/>
    <row r="335" ht="14.45" customHeight="1"/>
    <row r="336" ht="14.45" customHeight="1"/>
    <row r="337" ht="14.45" customHeight="1"/>
    <row r="338" ht="14.45" customHeight="1"/>
    <row r="339" ht="14.45" customHeight="1"/>
    <row r="340" ht="14.45" customHeight="1"/>
    <row r="341" ht="14.45" customHeight="1"/>
    <row r="342" ht="14.45" customHeight="1"/>
    <row r="343" ht="14.45" customHeight="1"/>
    <row r="344" ht="14.45" customHeight="1"/>
    <row r="345" ht="14.45" customHeight="1"/>
    <row r="346" ht="14.45" customHeight="1"/>
    <row r="347" ht="14.45" customHeight="1"/>
    <row r="348" ht="14.45" customHeight="1"/>
    <row r="349" ht="14.45" customHeight="1"/>
    <row r="350" ht="14.45" customHeight="1"/>
    <row r="351" ht="14.45" customHeight="1"/>
    <row r="352" ht="14.45" customHeight="1"/>
    <row r="353" ht="14.45" customHeight="1"/>
    <row r="354" ht="14.45" customHeight="1"/>
    <row r="355" ht="14.45" customHeight="1"/>
    <row r="356" ht="14.45" customHeight="1"/>
    <row r="357" ht="14.45" customHeight="1"/>
    <row r="358" ht="14.45" customHeight="1"/>
    <row r="359" ht="14.45" customHeight="1"/>
    <row r="360" ht="14.45" customHeight="1"/>
    <row r="361" ht="14.45" customHeight="1"/>
    <row r="362" ht="14.45" customHeight="1"/>
    <row r="363" ht="14.45" customHeight="1"/>
    <row r="364" ht="14.45" customHeight="1"/>
    <row r="365" ht="14.45" customHeight="1"/>
    <row r="366" ht="14.45" customHeight="1"/>
    <row r="367" ht="14.45" customHeight="1"/>
    <row r="368" ht="14.45" customHeight="1"/>
    <row r="369" ht="14.45" customHeight="1"/>
    <row r="370" ht="14.45" customHeight="1"/>
    <row r="371" ht="14.45" customHeight="1"/>
    <row r="372" ht="14.45" customHeight="1"/>
    <row r="373" ht="14.45" customHeight="1"/>
    <row r="374" ht="14.45" customHeight="1"/>
    <row r="375" ht="14.45" customHeight="1"/>
    <row r="376" ht="14.45" customHeight="1"/>
    <row r="377" ht="14.45" customHeight="1"/>
    <row r="378" ht="14.45" customHeight="1"/>
    <row r="379" ht="14.45" customHeight="1"/>
    <row r="380" ht="14.45" customHeight="1"/>
    <row r="381" ht="14.45" customHeight="1"/>
    <row r="382" ht="14.45" customHeight="1"/>
    <row r="383" ht="14.45" customHeight="1"/>
    <row r="384" ht="14.45" customHeight="1"/>
    <row r="385" ht="14.45" customHeight="1"/>
    <row r="386" ht="14.45" customHeight="1"/>
    <row r="387" ht="14.45" customHeight="1"/>
    <row r="388" ht="14.45" customHeight="1"/>
    <row r="389" ht="14.45" customHeight="1"/>
    <row r="390" ht="14.45" customHeight="1"/>
    <row r="391" ht="14.45" customHeight="1"/>
    <row r="392" ht="14.45" customHeight="1"/>
    <row r="393" ht="14.45" customHeight="1"/>
    <row r="394" ht="14.45" customHeight="1"/>
    <row r="395" ht="14.45" customHeight="1"/>
    <row r="396" ht="14.45" customHeight="1"/>
    <row r="397" ht="14.45" customHeight="1"/>
    <row r="398" ht="14.45" customHeight="1"/>
    <row r="399" ht="14.45" customHeight="1"/>
    <row r="400" ht="14.45" customHeight="1"/>
    <row r="401" ht="14.45" customHeight="1"/>
    <row r="402" ht="14.45" customHeight="1"/>
    <row r="403" ht="14.45" customHeight="1"/>
    <row r="404" ht="14.45" customHeight="1"/>
    <row r="405" ht="14.45" customHeight="1"/>
    <row r="406" ht="14.45" customHeight="1"/>
    <row r="407" ht="14.45" customHeight="1"/>
    <row r="408" ht="14.45" customHeight="1"/>
    <row r="409" ht="14.45" customHeight="1"/>
    <row r="410" ht="14.45" customHeight="1"/>
    <row r="411" ht="14.45" customHeight="1"/>
    <row r="412" ht="14.45" customHeight="1"/>
    <row r="413" ht="14.45" customHeight="1"/>
    <row r="414" ht="14.45" customHeight="1"/>
    <row r="415" ht="14.45" customHeight="1"/>
    <row r="416" ht="14.45" customHeight="1"/>
    <row r="417" ht="14.45" customHeight="1"/>
    <row r="418" ht="14.45" customHeight="1"/>
    <row r="419" ht="14.45" customHeight="1"/>
    <row r="420" ht="14.45" customHeight="1"/>
    <row r="421" ht="14.45" customHeight="1"/>
    <row r="422" ht="14.45" customHeight="1"/>
    <row r="423" ht="14.45" customHeight="1"/>
    <row r="424" ht="14.45" customHeight="1"/>
    <row r="425" ht="14.45" customHeight="1"/>
    <row r="426" ht="14.45" customHeight="1"/>
    <row r="427" ht="14.45" customHeight="1"/>
    <row r="428" ht="14.45" customHeight="1"/>
    <row r="429" ht="14.45" customHeight="1"/>
    <row r="430" ht="14.45" customHeight="1"/>
    <row r="431" ht="14.45" customHeight="1"/>
    <row r="432" ht="14.45" customHeight="1"/>
    <row r="433" ht="14.45" customHeight="1"/>
    <row r="434" ht="14.45" customHeight="1"/>
    <row r="435" ht="14.45" customHeight="1"/>
    <row r="436" ht="14.45" customHeight="1"/>
    <row r="437" ht="14.45" customHeight="1"/>
    <row r="438" ht="14.45" customHeight="1"/>
    <row r="439" ht="14.45" customHeight="1"/>
    <row r="440" ht="14.45" customHeight="1"/>
    <row r="441" ht="14.45" customHeight="1"/>
    <row r="442" ht="14.45" customHeight="1"/>
    <row r="443" ht="14.45" customHeight="1"/>
    <row r="444" ht="14.45" customHeight="1"/>
    <row r="445" ht="14.45" customHeight="1"/>
    <row r="446" ht="14.45" customHeight="1"/>
    <row r="447" ht="14.45" customHeight="1"/>
    <row r="448" ht="14.45" customHeight="1"/>
    <row r="449" ht="14.45" customHeight="1"/>
    <row r="450" ht="14.45" customHeight="1"/>
    <row r="451" ht="14.45" customHeight="1"/>
    <row r="452" ht="14.45" customHeight="1"/>
    <row r="453" ht="14.45" customHeight="1"/>
    <row r="454" ht="14.45" customHeight="1"/>
    <row r="455" ht="14.45" customHeight="1"/>
    <row r="456" ht="14.45" customHeight="1"/>
    <row r="457" ht="14.45" customHeight="1"/>
    <row r="458" ht="14.45" customHeight="1"/>
    <row r="459" ht="14.45" customHeight="1"/>
    <row r="460" ht="14.45" customHeight="1"/>
    <row r="461" ht="14.45" customHeight="1"/>
    <row r="462" ht="14.45" customHeight="1"/>
    <row r="463" ht="14.45" customHeight="1"/>
    <row r="464" ht="14.45" customHeight="1"/>
    <row r="465" ht="14.45" customHeight="1"/>
    <row r="466" ht="14.45" customHeight="1"/>
    <row r="467" ht="14.45" customHeight="1"/>
    <row r="468" ht="14.45" customHeight="1"/>
    <row r="469" ht="14.45" customHeight="1"/>
    <row r="470" ht="14.45" customHeight="1"/>
    <row r="471" ht="14.45" customHeight="1"/>
    <row r="472" ht="14.45" customHeight="1"/>
    <row r="473" ht="14.45" customHeight="1"/>
    <row r="474" ht="14.45" customHeight="1"/>
    <row r="475" ht="14.45" customHeight="1"/>
    <row r="476" ht="14.45" customHeight="1"/>
    <row r="477" ht="14.45" customHeight="1"/>
    <row r="478" ht="14.45" customHeight="1"/>
    <row r="479" ht="14.45" customHeight="1"/>
    <row r="480" ht="14.45" customHeight="1"/>
    <row r="481" ht="14.45" customHeight="1"/>
    <row r="482" ht="14.45" customHeight="1"/>
    <row r="483" ht="14.45" customHeight="1"/>
    <row r="484" ht="14.45" customHeight="1"/>
    <row r="485" ht="14.45" customHeight="1"/>
    <row r="486" ht="14.45" customHeight="1"/>
    <row r="487" ht="14.45" customHeight="1"/>
    <row r="488" ht="14.45" customHeight="1"/>
    <row r="489" ht="14.45" customHeight="1"/>
    <row r="490" ht="14.45" customHeight="1"/>
    <row r="491" ht="14.45" customHeight="1"/>
    <row r="492" ht="14.45" customHeight="1"/>
    <row r="493" ht="14.45" customHeight="1"/>
    <row r="494" ht="14.45" customHeight="1"/>
    <row r="495" ht="14.45" customHeight="1"/>
    <row r="496" ht="14.45" customHeight="1"/>
    <row r="497" ht="14.45" customHeight="1"/>
    <row r="498" ht="14.45" customHeight="1"/>
    <row r="499" ht="14.45" customHeight="1"/>
    <row r="500" ht="14.45" customHeight="1"/>
    <row r="501" ht="14.45" customHeight="1"/>
    <row r="502" ht="14.45" customHeight="1"/>
    <row r="503" ht="14.45" customHeight="1"/>
    <row r="504" ht="14.45" customHeight="1"/>
    <row r="505" ht="14.45" customHeight="1"/>
    <row r="506" ht="14.45" customHeight="1"/>
    <row r="507" ht="14.45" customHeight="1"/>
    <row r="508" ht="14.45" customHeight="1"/>
    <row r="509" ht="14.45" customHeight="1"/>
    <row r="510" ht="14.45" customHeight="1"/>
    <row r="511" ht="14.45" customHeight="1"/>
    <row r="512" ht="14.45" customHeight="1"/>
    <row r="513" ht="14.45" customHeight="1"/>
    <row r="514" ht="14.45" customHeight="1"/>
    <row r="515" ht="14.45" customHeight="1"/>
    <row r="516" ht="14.45" customHeight="1"/>
    <row r="517" ht="14.45" customHeight="1"/>
    <row r="518" ht="14.45" customHeight="1"/>
    <row r="519" ht="14.45" customHeight="1"/>
    <row r="520" ht="14.45" customHeight="1"/>
    <row r="521" ht="14.45" customHeight="1"/>
    <row r="522" ht="14.45" customHeight="1"/>
    <row r="523" ht="14.45" customHeight="1"/>
    <row r="524" ht="14.45" customHeight="1"/>
    <row r="525" ht="14.45" customHeight="1"/>
    <row r="526" ht="14.45" customHeight="1"/>
    <row r="527" ht="14.45" customHeight="1"/>
    <row r="528" ht="14.45" customHeight="1"/>
    <row r="529" ht="14.45" customHeight="1"/>
    <row r="530" ht="14.45" customHeight="1"/>
    <row r="531" ht="14.45" customHeight="1"/>
    <row r="532" ht="14.45" customHeight="1"/>
    <row r="533" ht="14.45" customHeight="1"/>
    <row r="534" ht="14.45" customHeight="1"/>
    <row r="535" ht="14.45" customHeight="1"/>
    <row r="536" ht="14.45" customHeight="1"/>
    <row r="537" ht="14.45" customHeight="1"/>
    <row r="538" ht="14.45" customHeight="1"/>
    <row r="539" ht="14.45" customHeight="1"/>
    <row r="540" ht="14.45" customHeight="1"/>
    <row r="541" ht="14.45" customHeight="1"/>
    <row r="542" ht="14.45" customHeight="1"/>
    <row r="543" ht="14.45" customHeight="1"/>
    <row r="544" ht="14.45" customHeight="1"/>
    <row r="545" ht="14.45" customHeight="1"/>
    <row r="546" ht="14.45" customHeight="1"/>
    <row r="547" ht="14.45" customHeight="1"/>
    <row r="548" ht="14.45" customHeight="1"/>
    <row r="549" ht="14.45" customHeight="1"/>
    <row r="550" ht="14.45" customHeight="1"/>
    <row r="551" ht="14.45" customHeight="1"/>
    <row r="552" ht="14.45" customHeight="1"/>
    <row r="553" ht="14.45" customHeight="1"/>
    <row r="554" ht="14.45" customHeight="1"/>
    <row r="555" ht="14.45" customHeight="1"/>
    <row r="556" ht="14.45" customHeight="1"/>
    <row r="557" ht="14.45" customHeight="1"/>
    <row r="558" ht="14.45" customHeight="1"/>
    <row r="559" ht="14.45" customHeight="1"/>
    <row r="560" ht="14.45" customHeight="1"/>
    <row r="561" ht="14.45" customHeight="1"/>
    <row r="562" ht="14.45" customHeight="1"/>
    <row r="563" ht="14.45" customHeight="1"/>
    <row r="564" ht="14.45" customHeight="1"/>
    <row r="565" ht="14.45" customHeight="1"/>
    <row r="566" ht="14.45" customHeight="1"/>
    <row r="567" ht="14.45" customHeight="1"/>
    <row r="568" ht="14.45" customHeight="1"/>
    <row r="569" ht="14.45" customHeight="1"/>
    <row r="570" ht="14.45" customHeight="1"/>
    <row r="571" ht="14.45" customHeight="1"/>
    <row r="572" ht="14.45" customHeight="1"/>
    <row r="573" ht="14.45" customHeight="1"/>
    <row r="574" ht="14.45" customHeight="1"/>
    <row r="575" ht="14.45" customHeight="1"/>
    <row r="576" ht="14.45" customHeight="1"/>
    <row r="577" ht="14.45" customHeight="1"/>
    <row r="578" ht="14.45" customHeight="1"/>
    <row r="579" ht="14.45" customHeight="1"/>
    <row r="580" ht="14.45" customHeight="1"/>
    <row r="581" ht="14.45" customHeight="1"/>
    <row r="582" ht="14.45" customHeight="1"/>
    <row r="583" ht="14.45" customHeight="1"/>
    <row r="584" ht="14.45" customHeight="1"/>
    <row r="585" ht="14.45" customHeight="1"/>
    <row r="586" ht="14.45" customHeight="1"/>
    <row r="587" ht="14.45" customHeight="1"/>
    <row r="588" ht="14.45" customHeight="1"/>
    <row r="589" ht="14.45" customHeight="1"/>
    <row r="590" ht="14.45" customHeight="1"/>
    <row r="591" ht="14.45" customHeight="1"/>
    <row r="592" ht="14.45" customHeight="1"/>
    <row r="593" ht="14.45" customHeight="1"/>
    <row r="594" ht="14.45" customHeight="1"/>
    <row r="595" ht="14.45" customHeight="1"/>
    <row r="596" ht="14.45" customHeight="1"/>
    <row r="597" ht="14.45" customHeight="1"/>
    <row r="598" ht="14.45" customHeight="1"/>
    <row r="599" ht="14.45" customHeight="1"/>
    <row r="600" ht="14.45" customHeight="1"/>
    <row r="601" ht="14.45" customHeight="1"/>
    <row r="602" ht="14.45" customHeight="1"/>
    <row r="603" ht="14.45" customHeight="1"/>
    <row r="604" ht="14.45" customHeight="1"/>
    <row r="605" ht="14.45" customHeight="1"/>
    <row r="606" ht="14.45" customHeight="1"/>
    <row r="607" ht="14.45" customHeight="1"/>
    <row r="608" ht="14.45" customHeight="1"/>
    <row r="609" ht="14.45" customHeight="1"/>
    <row r="610" ht="14.45" customHeight="1"/>
    <row r="611" ht="14.45" customHeight="1"/>
    <row r="612" ht="14.45" customHeight="1"/>
    <row r="613" ht="14.45" customHeight="1"/>
    <row r="614" ht="14.45" customHeight="1"/>
    <row r="615" ht="14.45" customHeight="1"/>
    <row r="616" ht="14.45" customHeight="1"/>
    <row r="617" ht="14.45" customHeight="1"/>
    <row r="618" ht="14.45" customHeight="1"/>
    <row r="619" ht="14.45" customHeight="1"/>
    <row r="620" ht="14.45" customHeight="1"/>
    <row r="621" ht="14.45" customHeight="1"/>
    <row r="622" ht="14.45" customHeight="1"/>
    <row r="623" ht="14.45" customHeight="1"/>
    <row r="624" ht="14.45" customHeight="1"/>
    <row r="625" ht="14.45" customHeight="1"/>
    <row r="626" ht="14.45" customHeight="1"/>
    <row r="627" ht="14.45" customHeight="1"/>
    <row r="628" ht="14.45" customHeight="1"/>
    <row r="629" ht="14.45" customHeight="1"/>
    <row r="630" ht="14.45" customHeight="1"/>
    <row r="631" ht="14.45" customHeight="1"/>
    <row r="632" ht="14.45" customHeight="1"/>
    <row r="633" ht="14.45" customHeight="1"/>
    <row r="634" ht="14.45" customHeight="1"/>
    <row r="635" ht="14.45" customHeight="1"/>
    <row r="636" ht="14.45" customHeight="1"/>
    <row r="637" ht="14.45" customHeight="1"/>
    <row r="638" ht="14.45" customHeight="1"/>
    <row r="639" ht="14.45" customHeight="1"/>
    <row r="640" ht="14.45" customHeight="1"/>
    <row r="641" ht="14.45" customHeight="1"/>
    <row r="642" ht="14.45" customHeight="1"/>
    <row r="643" ht="14.45" customHeight="1"/>
    <row r="644" ht="14.45" customHeight="1"/>
    <row r="645" ht="14.45" customHeight="1"/>
    <row r="646" ht="14.45" customHeight="1"/>
    <row r="647" ht="14.45" customHeight="1"/>
    <row r="648" ht="14.45" customHeight="1"/>
    <row r="649" ht="14.45" customHeight="1"/>
    <row r="650" ht="14.45" customHeight="1"/>
    <row r="651" ht="14.45" customHeight="1"/>
    <row r="652" ht="14.45" customHeight="1"/>
    <row r="653" ht="14.45" customHeight="1"/>
    <row r="654" ht="14.45" customHeight="1"/>
    <row r="655" ht="14.45" customHeight="1"/>
    <row r="656" ht="14.45" customHeight="1"/>
    <row r="657" ht="14.45" customHeight="1"/>
    <row r="658" ht="14.45" customHeight="1"/>
    <row r="659" ht="14.45" customHeight="1"/>
    <row r="660" ht="14.45" customHeight="1"/>
    <row r="661" ht="14.45" customHeight="1"/>
    <row r="662" ht="14.45" customHeight="1"/>
    <row r="663" ht="14.45" customHeight="1"/>
    <row r="664" ht="14.45" customHeight="1"/>
    <row r="665" ht="14.45" customHeight="1"/>
    <row r="666" ht="14.45" customHeight="1"/>
    <row r="667" ht="14.45" customHeight="1"/>
    <row r="668" ht="14.45" customHeight="1"/>
    <row r="669" ht="14.45" customHeight="1"/>
    <row r="670" ht="14.45" customHeight="1"/>
    <row r="671" ht="14.45" customHeight="1"/>
    <row r="672" ht="14.45" customHeight="1"/>
    <row r="673" ht="14.45" customHeight="1"/>
    <row r="674" ht="14.45" customHeight="1"/>
    <row r="675" ht="14.45" customHeight="1"/>
    <row r="676" ht="14.45" customHeight="1"/>
    <row r="677" ht="14.45" customHeight="1"/>
    <row r="678" ht="14.45" customHeight="1"/>
    <row r="679" ht="14.45" customHeight="1"/>
    <row r="680" ht="14.45" customHeight="1"/>
    <row r="681" ht="14.45" customHeight="1"/>
    <row r="682" ht="14.45" customHeight="1"/>
    <row r="683" ht="14.45" customHeight="1"/>
    <row r="684" ht="14.45" customHeight="1"/>
    <row r="685" ht="14.45" customHeight="1"/>
    <row r="686" ht="14.45" customHeight="1"/>
    <row r="687" ht="14.45" customHeight="1"/>
    <row r="688" ht="14.45" customHeight="1"/>
    <row r="689" ht="14.45" customHeight="1"/>
    <row r="690" ht="14.45" customHeight="1"/>
    <row r="691" ht="14.45" customHeight="1"/>
    <row r="692" ht="14.45" customHeight="1"/>
    <row r="693" ht="14.45" customHeight="1"/>
    <row r="694" ht="14.45" customHeight="1"/>
    <row r="695" ht="14.45" customHeight="1"/>
    <row r="696" ht="14.45" customHeight="1"/>
    <row r="697" ht="14.45" customHeight="1"/>
    <row r="698" ht="14.45" customHeight="1"/>
    <row r="699" ht="14.45" customHeight="1"/>
    <row r="700" ht="14.45" customHeight="1"/>
    <row r="701" ht="14.45" customHeight="1"/>
    <row r="702" ht="14.45" customHeight="1"/>
    <row r="703" ht="14.45" customHeight="1"/>
    <row r="704" ht="14.45" customHeight="1"/>
    <row r="705" ht="14.45" customHeight="1"/>
    <row r="706" ht="14.45" customHeight="1"/>
    <row r="707" ht="14.45" customHeight="1"/>
    <row r="708" ht="14.45" customHeight="1"/>
    <row r="709" ht="14.45" customHeight="1"/>
    <row r="710" ht="14.45" customHeight="1"/>
    <row r="711" ht="14.45" customHeight="1"/>
    <row r="712" ht="14.45" customHeight="1"/>
    <row r="713" ht="14.45" customHeight="1"/>
    <row r="714" ht="14.45" customHeight="1"/>
    <row r="715" ht="14.45" customHeight="1"/>
    <row r="716" ht="14.45" customHeight="1"/>
    <row r="717" ht="14.45" customHeight="1"/>
    <row r="718" ht="14.45" customHeight="1"/>
    <row r="719" ht="14.45" customHeight="1"/>
    <row r="720" ht="14.45" customHeight="1"/>
    <row r="721" ht="14.45" customHeight="1"/>
    <row r="722" ht="14.45" customHeight="1"/>
    <row r="723" ht="14.45" customHeight="1"/>
    <row r="724" ht="14.45" customHeight="1"/>
    <row r="725" ht="14.45" customHeight="1"/>
    <row r="726" ht="14.45" customHeight="1"/>
    <row r="727" ht="14.45" customHeight="1"/>
    <row r="728" ht="14.45" customHeight="1"/>
    <row r="729" ht="14.45" customHeight="1"/>
    <row r="730" ht="14.45" customHeight="1"/>
    <row r="731" ht="14.45" customHeight="1"/>
    <row r="732" ht="14.45" customHeight="1"/>
    <row r="733" ht="14.45" customHeight="1"/>
    <row r="734" ht="14.45" customHeight="1"/>
    <row r="735" ht="14.45" customHeight="1"/>
    <row r="736" ht="14.45" customHeight="1"/>
    <row r="737" ht="14.45" customHeight="1"/>
    <row r="738" ht="14.45" customHeight="1"/>
    <row r="739" ht="14.45" customHeight="1"/>
    <row r="740" ht="14.45" customHeight="1"/>
    <row r="741" ht="14.45" customHeight="1"/>
    <row r="742" ht="14.45" customHeight="1"/>
    <row r="743" ht="14.45" customHeight="1"/>
    <row r="744" ht="14.45" customHeight="1"/>
    <row r="745" ht="14.45" customHeight="1"/>
    <row r="746" ht="14.45" customHeight="1"/>
    <row r="747" ht="14.45" customHeight="1"/>
    <row r="748" ht="14.45" customHeight="1"/>
    <row r="749" ht="14.45" customHeight="1"/>
    <row r="750" ht="14.45" customHeight="1"/>
    <row r="751" ht="14.45" customHeight="1"/>
    <row r="752" ht="14.45" customHeight="1"/>
    <row r="753" ht="14.45" customHeight="1"/>
    <row r="754" ht="14.45" customHeight="1"/>
    <row r="755" ht="14.45" customHeight="1"/>
    <row r="756" ht="14.45" customHeight="1"/>
    <row r="757" ht="14.45" customHeight="1"/>
    <row r="758" ht="14.45" customHeight="1"/>
    <row r="759" ht="14.45" customHeight="1"/>
    <row r="760" ht="14.45" customHeight="1"/>
    <row r="761" ht="14.45" customHeight="1"/>
    <row r="762" ht="14.45" customHeight="1"/>
    <row r="763" ht="14.45" customHeight="1"/>
    <row r="764" ht="14.45" customHeight="1"/>
    <row r="765" ht="14.45" customHeight="1"/>
    <row r="766" ht="14.45" customHeight="1"/>
    <row r="767" ht="14.45" customHeight="1"/>
    <row r="768" ht="14.45" customHeight="1"/>
    <row r="769" ht="14.45" customHeight="1"/>
    <row r="770" ht="14.45" customHeight="1"/>
    <row r="771" ht="14.45" customHeight="1"/>
    <row r="772" ht="14.45" customHeight="1"/>
    <row r="773" ht="14.45" customHeight="1"/>
    <row r="774" ht="14.45" customHeight="1"/>
    <row r="775" ht="14.45" customHeight="1"/>
    <row r="776" ht="14.45" customHeight="1"/>
    <row r="777" ht="14.45" customHeight="1"/>
    <row r="778" ht="14.45" customHeight="1"/>
    <row r="779" ht="14.45" customHeight="1"/>
    <row r="780" ht="14.45" customHeight="1"/>
    <row r="781" ht="14.45" customHeight="1"/>
    <row r="782" ht="14.45" customHeight="1"/>
    <row r="783" ht="14.45" customHeight="1"/>
    <row r="784" ht="14.45" customHeight="1"/>
    <row r="785" ht="14.45" customHeight="1"/>
    <row r="786" ht="14.45" customHeight="1"/>
    <row r="787" ht="14.45" customHeight="1"/>
    <row r="788" ht="14.45" customHeight="1"/>
    <row r="789" ht="14.45" customHeight="1"/>
    <row r="790" ht="14.45" customHeight="1"/>
    <row r="791" ht="14.45" customHeight="1"/>
    <row r="792" ht="14.45" customHeight="1"/>
    <row r="793" ht="14.45" customHeight="1"/>
    <row r="794" ht="14.45" customHeight="1"/>
    <row r="795" ht="14.45" customHeight="1"/>
    <row r="796" ht="14.45" customHeight="1"/>
    <row r="797" ht="14.45" customHeight="1"/>
    <row r="798" ht="14.45" customHeight="1"/>
    <row r="799" ht="14.45" customHeight="1"/>
    <row r="800" ht="14.45" customHeight="1"/>
    <row r="801" ht="14.45" customHeight="1"/>
    <row r="802" ht="14.45" customHeight="1"/>
    <row r="803" ht="14.45" customHeight="1"/>
    <row r="804" ht="14.45" customHeight="1"/>
    <row r="805" ht="14.45" customHeight="1"/>
    <row r="806" ht="14.45" customHeight="1"/>
    <row r="807" ht="14.45" customHeight="1"/>
    <row r="808" ht="14.45" customHeight="1"/>
    <row r="809" ht="14.45" customHeight="1"/>
    <row r="810" ht="14.45" customHeight="1"/>
    <row r="811" ht="14.45" customHeight="1"/>
    <row r="812" ht="14.45" customHeight="1"/>
    <row r="813" ht="14.45" customHeight="1"/>
    <row r="814" ht="14.45" customHeight="1"/>
    <row r="815" ht="14.45" customHeight="1"/>
    <row r="816" ht="14.45" customHeight="1"/>
    <row r="817" ht="14.45" customHeight="1"/>
    <row r="818" ht="14.45" customHeight="1"/>
    <row r="819" ht="14.45" customHeight="1"/>
    <row r="820" ht="14.45" customHeight="1"/>
    <row r="821" ht="14.45" customHeight="1"/>
    <row r="822" ht="14.45" customHeight="1"/>
    <row r="823" ht="14.45" customHeight="1"/>
    <row r="824" ht="14.45" customHeight="1"/>
    <row r="825" ht="14.45" customHeight="1"/>
    <row r="826" ht="14.45" customHeight="1"/>
    <row r="827" ht="14.45" customHeight="1"/>
    <row r="828" ht="14.45" customHeight="1"/>
    <row r="829" ht="14.45" customHeight="1"/>
    <row r="830" ht="14.45" customHeight="1"/>
    <row r="831" ht="14.45" customHeight="1"/>
    <row r="832" ht="14.45" customHeight="1"/>
    <row r="833" ht="14.45" customHeight="1"/>
    <row r="834" ht="14.45" customHeight="1"/>
    <row r="835" ht="14.45" customHeight="1"/>
    <row r="836" ht="14.45" customHeight="1"/>
    <row r="837" ht="14.45" customHeight="1"/>
    <row r="838" ht="14.45" customHeight="1"/>
    <row r="839" ht="14.45" customHeight="1"/>
    <row r="840" ht="14.45" customHeight="1"/>
    <row r="841" ht="14.45" customHeight="1"/>
    <row r="842" ht="14.45" customHeight="1"/>
    <row r="843" ht="14.45" customHeight="1"/>
    <row r="844" ht="14.45" customHeight="1"/>
    <row r="845" ht="14.45" customHeight="1"/>
    <row r="846" ht="14.45" customHeight="1"/>
    <row r="847" ht="14.45" customHeight="1"/>
    <row r="848" ht="14.45" customHeight="1"/>
    <row r="849" ht="14.45" customHeight="1"/>
    <row r="850" ht="14.45" customHeight="1"/>
    <row r="851" ht="14.45" customHeight="1"/>
    <row r="852" ht="14.45" customHeight="1"/>
    <row r="853" ht="14.45" customHeight="1"/>
    <row r="854" ht="14.45" customHeight="1"/>
    <row r="855" ht="14.45" customHeight="1"/>
    <row r="856" ht="14.45" customHeight="1"/>
    <row r="857" ht="14.45" customHeight="1"/>
    <row r="858" ht="14.45" customHeight="1"/>
    <row r="859" ht="14.45" customHeight="1"/>
    <row r="860" ht="14.45" customHeight="1"/>
    <row r="861" ht="14.45" customHeight="1"/>
    <row r="862" ht="14.45" customHeight="1"/>
    <row r="863" ht="14.45" customHeight="1"/>
    <row r="864" ht="14.45" customHeight="1"/>
    <row r="865" ht="14.45" customHeight="1"/>
    <row r="866" ht="14.45" customHeight="1"/>
    <row r="867" ht="14.45" customHeight="1"/>
    <row r="868" ht="14.45" customHeight="1"/>
    <row r="869" ht="14.45" customHeight="1"/>
    <row r="870" ht="14.45" customHeight="1"/>
    <row r="871" ht="14.45" customHeight="1"/>
    <row r="872" ht="14.45" customHeight="1"/>
    <row r="873" ht="14.45" customHeight="1"/>
    <row r="874" ht="14.45" customHeight="1"/>
    <row r="875" ht="14.45" customHeight="1"/>
    <row r="876" ht="14.45" customHeight="1"/>
    <row r="877" ht="14.45" customHeight="1"/>
    <row r="878" ht="14.45" customHeight="1"/>
    <row r="879" ht="14.45" customHeight="1"/>
    <row r="880" ht="14.45" customHeight="1"/>
    <row r="881" ht="14.45" customHeight="1"/>
    <row r="882" ht="14.45" customHeight="1"/>
    <row r="883" ht="14.45" customHeight="1"/>
    <row r="884" ht="14.45" customHeight="1"/>
    <row r="885" ht="14.45" customHeight="1"/>
    <row r="886" ht="14.45" customHeight="1"/>
    <row r="887" ht="14.45" customHeight="1"/>
    <row r="888" ht="14.45" customHeight="1"/>
    <row r="889" ht="14.45" customHeight="1"/>
    <row r="890" ht="14.45" customHeight="1"/>
    <row r="891" ht="14.45" customHeight="1"/>
    <row r="892" ht="14.45" customHeight="1"/>
    <row r="893" ht="14.45" customHeight="1"/>
    <row r="894" ht="14.45" customHeight="1"/>
    <row r="895" ht="14.45" customHeight="1"/>
    <row r="896" ht="14.45" customHeight="1"/>
    <row r="897" ht="14.45" customHeight="1"/>
    <row r="898" ht="14.45" customHeight="1"/>
    <row r="899" ht="14.45" customHeight="1"/>
    <row r="900" ht="14.45" customHeight="1"/>
    <row r="901" ht="14.45" customHeight="1"/>
    <row r="902" ht="14.45" customHeight="1"/>
    <row r="903" ht="14.45" customHeight="1"/>
    <row r="904" ht="14.45" customHeight="1"/>
    <row r="905" ht="14.45" customHeight="1"/>
    <row r="906" ht="14.45" customHeight="1"/>
    <row r="907" ht="14.45" customHeight="1"/>
    <row r="908" ht="14.45" customHeight="1"/>
    <row r="909" ht="14.45" customHeight="1"/>
    <row r="910" ht="14.45" customHeight="1"/>
    <row r="911" ht="14.45" customHeight="1"/>
    <row r="912" ht="14.45" customHeight="1"/>
    <row r="913" ht="14.45" customHeight="1"/>
    <row r="914" ht="14.45" customHeight="1"/>
    <row r="915" ht="14.45" customHeight="1"/>
    <row r="916" ht="14.45" customHeight="1"/>
    <row r="917" ht="14.45" customHeight="1"/>
    <row r="918" ht="14.45" customHeight="1"/>
    <row r="919" ht="14.45" customHeight="1"/>
    <row r="920" ht="14.45" customHeight="1"/>
    <row r="921" ht="14.45" customHeight="1"/>
    <row r="922" ht="14.45" customHeight="1"/>
    <row r="923" ht="14.45" customHeight="1"/>
    <row r="924" ht="14.45" customHeight="1"/>
    <row r="925" ht="14.45" customHeight="1"/>
    <row r="926" ht="14.45" customHeight="1"/>
    <row r="927" ht="14.45" customHeight="1"/>
    <row r="928" ht="14.45" customHeight="1"/>
    <row r="929" ht="14.45" customHeight="1"/>
    <row r="930" ht="14.45" customHeight="1"/>
    <row r="931" ht="14.45" customHeight="1"/>
    <row r="932" ht="14.45" customHeight="1"/>
    <row r="933" ht="14.45" customHeight="1"/>
    <row r="934" ht="14.45" customHeight="1"/>
    <row r="935" ht="14.45" customHeight="1"/>
    <row r="936" ht="14.45" customHeight="1"/>
    <row r="937" ht="14.45" customHeight="1"/>
    <row r="938" ht="14.45" customHeight="1"/>
    <row r="939" ht="14.45" customHeight="1"/>
    <row r="940" ht="14.45" customHeight="1"/>
    <row r="941" ht="14.45" customHeight="1"/>
    <row r="942" ht="14.45" customHeight="1"/>
    <row r="943" ht="14.45" customHeight="1"/>
    <row r="944" ht="14.45" customHeight="1"/>
    <row r="945" ht="14.45" customHeight="1"/>
    <row r="946" ht="14.45" customHeight="1"/>
    <row r="947" ht="14.45" customHeight="1"/>
    <row r="948" ht="14.45" customHeight="1"/>
    <row r="949" ht="14.45" customHeight="1"/>
    <row r="950" ht="14.45" customHeight="1"/>
    <row r="951" ht="14.45" customHeight="1"/>
    <row r="952" ht="14.45" customHeight="1"/>
    <row r="953" ht="14.45" customHeight="1"/>
    <row r="954" ht="14.45" customHeight="1"/>
    <row r="955" ht="14.45" customHeight="1"/>
    <row r="956" ht="14.45" customHeight="1"/>
    <row r="957" ht="14.45" customHeight="1"/>
    <row r="958" ht="14.45" customHeight="1"/>
    <row r="959" ht="14.45" customHeight="1"/>
    <row r="960" ht="14.45" customHeight="1"/>
  </sheetData>
  <mergeCells count="44">
    <mergeCell ref="W47:Y47"/>
    <mergeCell ref="AB38:AC38"/>
    <mergeCell ref="AB39:AC39"/>
    <mergeCell ref="AB40:AC40"/>
    <mergeCell ref="AB41:AC41"/>
    <mergeCell ref="W46:Y46"/>
    <mergeCell ref="Z45:AB45"/>
    <mergeCell ref="W45:Y45"/>
    <mergeCell ref="W44:Y44"/>
    <mergeCell ref="AB34:AC34"/>
    <mergeCell ref="AB36:AC36"/>
    <mergeCell ref="AB37:AC37"/>
    <mergeCell ref="AB42:AC42"/>
    <mergeCell ref="AB30:AC30"/>
    <mergeCell ref="AB31:AC31"/>
    <mergeCell ref="AB32:AC32"/>
    <mergeCell ref="AB33:AC33"/>
    <mergeCell ref="AB27:AC27"/>
    <mergeCell ref="AB28:AC28"/>
    <mergeCell ref="AB29:AC29"/>
    <mergeCell ref="AB22:AC22"/>
    <mergeCell ref="AB23:AC23"/>
    <mergeCell ref="AB24:AC24"/>
    <mergeCell ref="AB25:AC25"/>
    <mergeCell ref="J111:L111"/>
    <mergeCell ref="AB18:AC18"/>
    <mergeCell ref="AB19:AC19"/>
    <mergeCell ref="AB20:AC20"/>
    <mergeCell ref="AB21:AC21"/>
    <mergeCell ref="AB15:AC15"/>
    <mergeCell ref="AB16:AC16"/>
    <mergeCell ref="AB17:AC17"/>
    <mergeCell ref="AB35:AC35"/>
    <mergeCell ref="AB26:AC26"/>
    <mergeCell ref="J112:L112"/>
    <mergeCell ref="J113:L113"/>
    <mergeCell ref="J74:L74"/>
    <mergeCell ref="J75:L75"/>
    <mergeCell ref="J76:L76"/>
    <mergeCell ref="AB8:AC8"/>
    <mergeCell ref="AB11:AC11"/>
    <mergeCell ref="AB12:AC12"/>
    <mergeCell ref="AB13:AC13"/>
    <mergeCell ref="AB14:AC14"/>
  </mergeCells>
  <phoneticPr fontId="0" type="noConversion"/>
  <dataValidations xWindow="881" yWindow="542" count="14">
    <dataValidation type="list" allowBlank="1" showInputMessage="1" showErrorMessage="1" sqref="J12:L12">
      <formula1>"CEV,ROLING"</formula1>
    </dataValidation>
    <dataValidation type="list" allowBlank="1" showInputMessage="1" showErrorMessage="1" promptTitle="PRVI OTVOR MREŽNOG RASPOREDA " prompt="1. Prvi otvor od centra ploce je prvi red i prva kolona_x000a_2. Prvi otvor od centra ploce je drugi red i prva kolona ili obrnuto" sqref="J41:L41">
      <formula1>"1,2"</formula1>
    </dataValidation>
    <dataValidation type="list" allowBlank="1" showInputMessage="1" showErrorMessage="1" promptTitle="FORMAT OBLIKA CEVI" prompt="U - Savijena U cev_x000a_P - Prava cev - bez savijanja" sqref="J28:L28">
      <formula1>"U,P"</formula1>
    </dataValidation>
    <dataValidation type="list" allowBlank="1" showInputMessage="1" showErrorMessage="1" promptTitle="TOK STRUJANJA U OMOTAČU" prompt="p - Poprečno strujanje_x000a_u - Uzdužno strujanje_x000a_" sqref="J29:L29">
      <formula1>"p,u"</formula1>
    </dataValidation>
    <dataValidation type="list" allowBlank="1" showInputMessage="1" showErrorMessage="1" promptTitle="MREŽNI UGAO" prompt="30 - T trouglasti_x000a_60 - T trouglasti rotirani_x000a_90 - K kvadratni_x000a_45 - K kvadratni rotirani" sqref="J42:L42">
      <formula1>"30,45,60,90"</formula1>
    </dataValidation>
    <dataValidation type="list" allowBlank="1" showInputMessage="1" showErrorMessage="1" promptTitle="BROJ PROLAZA FLUIDA U CEVIMA" prompt="Maksimalno do 8" sqref="J30:L30">
      <formula1>"1,2,3,4,6,8"</formula1>
    </dataValidation>
    <dataValidation type="list" allowBlank="1" showInputMessage="1" showErrorMessage="1" promptTitle="BROJ PROLAZA FLUIDA OKO CEVI" prompt="Maksimalno do 4" sqref="J31:L31">
      <formula1>"1,2,3,4"</formula1>
    </dataValidation>
    <dataValidation allowBlank="1" showInputMessage="1" showErrorMessage="1" promptTitle="Napadni ugao struje" prompt="Sahovski raspored_x000a_T30 - Trouglasti 30o_x000a_K45 - Trouglasti 45o - K rot._x000a_T60 - Trouglasti 60o (Rot. 30o)_x000a_Troa   - Trouglasti alfa_x000a_Koridorni raspored_x000a_K - Pravougli ili kvadratni " sqref="AB26 J52:L52"/>
    <dataValidation allowBlank="1" showInputMessage="1" showErrorMessage="1" promptTitle="VISINA OKNA" prompt="Visina okna po vertikalnoj osi ploce" sqref="R114 V113:V114"/>
    <dataValidation allowBlank="1" showInputMessage="1" showErrorMessage="1" promptTitle="BROJ PRVOG REDA (KOLONE) OKNA" prompt="Izracunata vrednost treba da je takva da Ho/Du bude ~ 25%" sqref="AA113:AA114"/>
    <dataValidation type="list" allowBlank="1" showInputMessage="1" showErrorMessage="1" sqref="AA8">
      <formula1>"Var. I,Var. II,Var. III,Data"</formula1>
    </dataValidation>
    <dataValidation type="list" allowBlank="1" showInputMessage="1" showErrorMessage="1" sqref="F29">
      <formula1>"Da,Ne"</formula1>
    </dataValidation>
    <dataValidation type="list" allowBlank="1" showInputMessage="1" showErrorMessage="1" sqref="E92:E93">
      <formula1>"DN,R"</formula1>
    </dataValidation>
    <dataValidation type="list" allowBlank="1" showInputMessage="1" showErrorMessage="1" sqref="J13:L13">
      <formula1>"Hladniji,Topliji"</formula1>
    </dataValidation>
  </dataValidations>
  <pageMargins left="0.39370078740157483" right="0.19685039370078741" top="0.39370078740157483" bottom="0.19685039370078741" header="0.19685039370078741" footer="0.19685039370078741"/>
  <pageSetup paperSize="9" orientation="portrait" r:id="rId1"/>
  <headerFooter alignWithMargins="0">
    <oddFooter>&amp;R&amp;10&amp;P</oddFooter>
  </headerFooter>
  <drawing r:id="rId2"/>
  <legacyDrawing r:id="rId3"/>
  <oleObjects>
    <mc:AlternateContent xmlns:mc="http://schemas.openxmlformats.org/markup-compatibility/2006">
      <mc:Choice Requires="x14">
        <oleObject progId="Equation.DSMT4" shapeId="1294" r:id="rId4">
          <objectPr defaultSize="0" autoPict="0" r:id="rId5">
            <anchor moveWithCells="1" sizeWithCells="1">
              <from>
                <xdr:col>14</xdr:col>
                <xdr:colOff>0</xdr:colOff>
                <xdr:row>84</xdr:row>
                <xdr:rowOff>0</xdr:rowOff>
              </from>
              <to>
                <xdr:col>14</xdr:col>
                <xdr:colOff>114300</xdr:colOff>
                <xdr:row>85</xdr:row>
                <xdr:rowOff>0</xdr:rowOff>
              </to>
            </anchor>
          </objectPr>
        </oleObject>
      </mc:Choice>
      <mc:Fallback>
        <oleObject progId="Equation.DSMT4" shapeId="1294" r:id="rId4"/>
      </mc:Fallback>
    </mc:AlternateContent>
    <mc:AlternateContent xmlns:mc="http://schemas.openxmlformats.org/markup-compatibility/2006">
      <mc:Choice Requires="x14">
        <oleObject progId="CorelDRAW.Graphic.12" shapeId="3958" r:id="rId6">
          <objectPr defaultSize="0" r:id="rId7">
            <anchor moveWithCells="1">
              <from>
                <xdr:col>21</xdr:col>
                <xdr:colOff>276225</xdr:colOff>
                <xdr:row>56</xdr:row>
                <xdr:rowOff>104775</xdr:rowOff>
              </from>
              <to>
                <xdr:col>22</xdr:col>
                <xdr:colOff>314325</xdr:colOff>
                <xdr:row>60</xdr:row>
                <xdr:rowOff>142875</xdr:rowOff>
              </to>
            </anchor>
          </objectPr>
        </oleObject>
      </mc:Choice>
      <mc:Fallback>
        <oleObject progId="CorelDRAW.Graphic.12" shapeId="3958" r:id="rId6"/>
      </mc:Fallback>
    </mc:AlternateContent>
    <mc:AlternateContent xmlns:mc="http://schemas.openxmlformats.org/markup-compatibility/2006">
      <mc:Choice Requires="x14">
        <oleObject progId="CorelDRAW.Graphic.12" shapeId="3959" r:id="rId8">
          <objectPr defaultSize="0" r:id="rId9">
            <anchor moveWithCells="1">
              <from>
                <xdr:col>19</xdr:col>
                <xdr:colOff>190500</xdr:colOff>
                <xdr:row>56</xdr:row>
                <xdr:rowOff>104775</xdr:rowOff>
              </from>
              <to>
                <xdr:col>20</xdr:col>
                <xdr:colOff>304800</xdr:colOff>
                <xdr:row>60</xdr:row>
                <xdr:rowOff>152400</xdr:rowOff>
              </to>
            </anchor>
          </objectPr>
        </oleObject>
      </mc:Choice>
      <mc:Fallback>
        <oleObject progId="CorelDRAW.Graphic.12" shapeId="3959" r:id="rId8"/>
      </mc:Fallback>
    </mc:AlternateContent>
    <mc:AlternateContent xmlns:mc="http://schemas.openxmlformats.org/markup-compatibility/2006">
      <mc:Choice Requires="x14">
        <oleObject progId="Equation.DSMT4" shapeId="4032" r:id="rId10">
          <objectPr defaultSize="0" autoPict="0" r:id="rId11">
            <anchor moveWithCells="1" sizeWithCells="1">
              <from>
                <xdr:col>28</xdr:col>
                <xdr:colOff>0</xdr:colOff>
                <xdr:row>37</xdr:row>
                <xdr:rowOff>0</xdr:rowOff>
              </from>
              <to>
                <xdr:col>28</xdr:col>
                <xdr:colOff>0</xdr:colOff>
                <xdr:row>38</xdr:row>
                <xdr:rowOff>123825</xdr:rowOff>
              </to>
            </anchor>
          </objectPr>
        </oleObject>
      </mc:Choice>
      <mc:Fallback>
        <oleObject progId="Equation.DSMT4" shapeId="4032" r:id="rId10"/>
      </mc:Fallback>
    </mc:AlternateContent>
    <mc:AlternateContent xmlns:mc="http://schemas.openxmlformats.org/markup-compatibility/2006">
      <mc:Choice Requires="x14">
        <oleObject progId="Equation.DSMT4" shapeId="4149" r:id="rId12">
          <objectPr defaultSize="0" autoPict="0" r:id="rId5">
            <anchor moveWithCells="1" sizeWithCells="1">
              <from>
                <xdr:col>29</xdr:col>
                <xdr:colOff>0</xdr:colOff>
                <xdr:row>84</xdr:row>
                <xdr:rowOff>0</xdr:rowOff>
              </from>
              <to>
                <xdr:col>29</xdr:col>
                <xdr:colOff>0</xdr:colOff>
                <xdr:row>85</xdr:row>
                <xdr:rowOff>0</xdr:rowOff>
              </to>
            </anchor>
          </objectPr>
        </oleObject>
      </mc:Choice>
      <mc:Fallback>
        <oleObject progId="Equation.DSMT4" shapeId="4149" r:id="rId12"/>
      </mc:Fallback>
    </mc:AlternateContent>
    <mc:AlternateContent xmlns:mc="http://schemas.openxmlformats.org/markup-compatibility/2006">
      <mc:Choice Requires="x14">
        <oleObject progId="Equation.DSMT4" shapeId="4153" r:id="rId13">
          <objectPr defaultSize="0" autoPict="0" r:id="rId11">
            <anchor moveWithCells="1" sizeWithCells="1">
              <from>
                <xdr:col>29</xdr:col>
                <xdr:colOff>0</xdr:colOff>
                <xdr:row>37</xdr:row>
                <xdr:rowOff>0</xdr:rowOff>
              </from>
              <to>
                <xdr:col>29</xdr:col>
                <xdr:colOff>0</xdr:colOff>
                <xdr:row>38</xdr:row>
                <xdr:rowOff>123825</xdr:rowOff>
              </to>
            </anchor>
          </objectPr>
        </oleObject>
      </mc:Choice>
      <mc:Fallback>
        <oleObject progId="Equation.DSMT4" shapeId="4153" r:id="rId13"/>
      </mc:Fallback>
    </mc:AlternateContent>
    <mc:AlternateContent xmlns:mc="http://schemas.openxmlformats.org/markup-compatibility/2006">
      <mc:Choice Requires="x14">
        <oleObject progId="Equation.DSMT4" shapeId="4298" r:id="rId14">
          <objectPr defaultSize="0" autoPict="0" r:id="rId15">
            <anchor moveWithCells="1" sizeWithCells="1">
              <from>
                <xdr:col>30</xdr:col>
                <xdr:colOff>0</xdr:colOff>
                <xdr:row>21</xdr:row>
                <xdr:rowOff>0</xdr:rowOff>
              </from>
              <to>
                <xdr:col>30</xdr:col>
                <xdr:colOff>0</xdr:colOff>
                <xdr:row>21</xdr:row>
                <xdr:rowOff>0</xdr:rowOff>
              </to>
            </anchor>
          </objectPr>
        </oleObject>
      </mc:Choice>
      <mc:Fallback>
        <oleObject progId="Equation.DSMT4" shapeId="4298" r:id="rId14"/>
      </mc:Fallback>
    </mc:AlternateContent>
    <mc:AlternateContent xmlns:mc="http://schemas.openxmlformats.org/markup-compatibility/2006">
      <mc:Choice Requires="x14">
        <oleObject progId="Equation.DSMT4" shapeId="4299" r:id="rId16">
          <objectPr defaultSize="0" autoPict="0" r:id="rId15">
            <anchor moveWithCells="1" sizeWithCells="1">
              <from>
                <xdr:col>30</xdr:col>
                <xdr:colOff>0</xdr:colOff>
                <xdr:row>22</xdr:row>
                <xdr:rowOff>0</xdr:rowOff>
              </from>
              <to>
                <xdr:col>30</xdr:col>
                <xdr:colOff>0</xdr:colOff>
                <xdr:row>22</xdr:row>
                <xdr:rowOff>0</xdr:rowOff>
              </to>
            </anchor>
          </objectPr>
        </oleObject>
      </mc:Choice>
      <mc:Fallback>
        <oleObject progId="Equation.DSMT4" shapeId="4299" r:id="rId16"/>
      </mc:Fallback>
    </mc:AlternateContent>
    <mc:AlternateContent xmlns:mc="http://schemas.openxmlformats.org/markup-compatibility/2006">
      <mc:Choice Requires="x14">
        <oleObject progId="Equation.DSMT4" shapeId="4300" r:id="rId17">
          <objectPr defaultSize="0" autoPict="0" r:id="rId18">
            <anchor moveWithCells="1" sizeWithCells="1">
              <from>
                <xdr:col>30</xdr:col>
                <xdr:colOff>0</xdr:colOff>
                <xdr:row>21</xdr:row>
                <xdr:rowOff>0</xdr:rowOff>
              </from>
              <to>
                <xdr:col>30</xdr:col>
                <xdr:colOff>0</xdr:colOff>
                <xdr:row>21</xdr:row>
                <xdr:rowOff>0</xdr:rowOff>
              </to>
            </anchor>
          </objectPr>
        </oleObject>
      </mc:Choice>
      <mc:Fallback>
        <oleObject progId="Equation.DSMT4" shapeId="4300" r:id="rId17"/>
      </mc:Fallback>
    </mc:AlternateContent>
    <mc:AlternateContent xmlns:mc="http://schemas.openxmlformats.org/markup-compatibility/2006">
      <mc:Choice Requires="x14">
        <oleObject progId="Equation.DSMT4" shapeId="4301" r:id="rId19">
          <objectPr defaultSize="0" autoPict="0" r:id="rId18">
            <anchor moveWithCells="1" sizeWithCells="1">
              <from>
                <xdr:col>30</xdr:col>
                <xdr:colOff>0</xdr:colOff>
                <xdr:row>21</xdr:row>
                <xdr:rowOff>0</xdr:rowOff>
              </from>
              <to>
                <xdr:col>30</xdr:col>
                <xdr:colOff>0</xdr:colOff>
                <xdr:row>21</xdr:row>
                <xdr:rowOff>0</xdr:rowOff>
              </to>
            </anchor>
          </objectPr>
        </oleObject>
      </mc:Choice>
      <mc:Fallback>
        <oleObject progId="Equation.DSMT4" shapeId="4301" r:id="rId19"/>
      </mc:Fallback>
    </mc:AlternateContent>
    <mc:AlternateContent xmlns:mc="http://schemas.openxmlformats.org/markup-compatibility/2006">
      <mc:Choice Requires="x14">
        <oleObject progId="Equation.DSMT4" shapeId="4302" r:id="rId20">
          <objectPr defaultSize="0" autoPict="0" r:id="rId18">
            <anchor moveWithCells="1" sizeWithCells="1">
              <from>
                <xdr:col>30</xdr:col>
                <xdr:colOff>0</xdr:colOff>
                <xdr:row>26</xdr:row>
                <xdr:rowOff>0</xdr:rowOff>
              </from>
              <to>
                <xdr:col>30</xdr:col>
                <xdr:colOff>0</xdr:colOff>
                <xdr:row>26</xdr:row>
                <xdr:rowOff>0</xdr:rowOff>
              </to>
            </anchor>
          </objectPr>
        </oleObject>
      </mc:Choice>
      <mc:Fallback>
        <oleObject progId="Equation.DSMT4" shapeId="4302" r:id="rId20"/>
      </mc:Fallback>
    </mc:AlternateContent>
    <mc:AlternateContent xmlns:mc="http://schemas.openxmlformats.org/markup-compatibility/2006">
      <mc:Choice Requires="x14">
        <oleObject progId="Equation.DSMT4" shapeId="4303" r:id="rId21">
          <objectPr defaultSize="0" autoPict="0" r:id="rId18">
            <anchor moveWithCells="1" sizeWithCells="1">
              <from>
                <xdr:col>30</xdr:col>
                <xdr:colOff>0</xdr:colOff>
                <xdr:row>22</xdr:row>
                <xdr:rowOff>0</xdr:rowOff>
              </from>
              <to>
                <xdr:col>30</xdr:col>
                <xdr:colOff>0</xdr:colOff>
                <xdr:row>22</xdr:row>
                <xdr:rowOff>0</xdr:rowOff>
              </to>
            </anchor>
          </objectPr>
        </oleObject>
      </mc:Choice>
      <mc:Fallback>
        <oleObject progId="Equation.DSMT4" shapeId="4303" r:id="rId21"/>
      </mc:Fallback>
    </mc:AlternateContent>
    <mc:AlternateContent xmlns:mc="http://schemas.openxmlformats.org/markup-compatibility/2006">
      <mc:Choice Requires="x14">
        <oleObject progId="Equation.DSMT4" shapeId="4304" r:id="rId22">
          <objectPr defaultSize="0" autoPict="0" r:id="rId15">
            <anchor moveWithCells="1" sizeWithCells="1">
              <from>
                <xdr:col>30</xdr:col>
                <xdr:colOff>0</xdr:colOff>
                <xdr:row>21</xdr:row>
                <xdr:rowOff>0</xdr:rowOff>
              </from>
              <to>
                <xdr:col>30</xdr:col>
                <xdr:colOff>0</xdr:colOff>
                <xdr:row>21</xdr:row>
                <xdr:rowOff>0</xdr:rowOff>
              </to>
            </anchor>
          </objectPr>
        </oleObject>
      </mc:Choice>
      <mc:Fallback>
        <oleObject progId="Equation.DSMT4" shapeId="4304" r:id="rId22"/>
      </mc:Fallback>
    </mc:AlternateContent>
    <mc:AlternateContent xmlns:mc="http://schemas.openxmlformats.org/markup-compatibility/2006">
      <mc:Choice Requires="x14">
        <oleObject progId="Equation.DSMT4" shapeId="4305" r:id="rId23">
          <objectPr defaultSize="0" autoPict="0" r:id="rId15">
            <anchor moveWithCells="1" sizeWithCells="1">
              <from>
                <xdr:col>30</xdr:col>
                <xdr:colOff>0</xdr:colOff>
                <xdr:row>26</xdr:row>
                <xdr:rowOff>0</xdr:rowOff>
              </from>
              <to>
                <xdr:col>30</xdr:col>
                <xdr:colOff>0</xdr:colOff>
                <xdr:row>26</xdr:row>
                <xdr:rowOff>0</xdr:rowOff>
              </to>
            </anchor>
          </objectPr>
        </oleObject>
      </mc:Choice>
      <mc:Fallback>
        <oleObject progId="Equation.DSMT4" shapeId="4305" r:id="rId23"/>
      </mc:Fallback>
    </mc:AlternateContent>
    <mc:AlternateContent xmlns:mc="http://schemas.openxmlformats.org/markup-compatibility/2006">
      <mc:Choice Requires="x14">
        <oleObject progId="Equation.DSMT4" shapeId="4306" r:id="rId24">
          <objectPr defaultSize="0" autoPict="0" r:id="rId18">
            <anchor moveWithCells="1" sizeWithCells="1">
              <from>
                <xdr:col>30</xdr:col>
                <xdr:colOff>0</xdr:colOff>
                <xdr:row>21</xdr:row>
                <xdr:rowOff>0</xdr:rowOff>
              </from>
              <to>
                <xdr:col>30</xdr:col>
                <xdr:colOff>0</xdr:colOff>
                <xdr:row>21</xdr:row>
                <xdr:rowOff>0</xdr:rowOff>
              </to>
            </anchor>
          </objectPr>
        </oleObject>
      </mc:Choice>
      <mc:Fallback>
        <oleObject progId="Equation.DSMT4" shapeId="4306" r:id="rId24"/>
      </mc:Fallback>
    </mc:AlternateContent>
    <mc:AlternateContent xmlns:mc="http://schemas.openxmlformats.org/markup-compatibility/2006">
      <mc:Choice Requires="x14">
        <oleObject progId="Equation.DSMT4" shapeId="4307" r:id="rId25">
          <objectPr defaultSize="0" autoPict="0" r:id="rId18">
            <anchor moveWithCells="1" sizeWithCells="1">
              <from>
                <xdr:col>30</xdr:col>
                <xdr:colOff>0</xdr:colOff>
                <xdr:row>26</xdr:row>
                <xdr:rowOff>0</xdr:rowOff>
              </from>
              <to>
                <xdr:col>30</xdr:col>
                <xdr:colOff>0</xdr:colOff>
                <xdr:row>26</xdr:row>
                <xdr:rowOff>0</xdr:rowOff>
              </to>
            </anchor>
          </objectPr>
        </oleObject>
      </mc:Choice>
      <mc:Fallback>
        <oleObject progId="Equation.DSMT4" shapeId="4307" r:id="rId25"/>
      </mc:Fallback>
    </mc:AlternateContent>
    <mc:AlternateContent xmlns:mc="http://schemas.openxmlformats.org/markup-compatibility/2006">
      <mc:Choice Requires="x14">
        <oleObject progId="Equation.DSMT4" shapeId="4308" r:id="rId26">
          <objectPr defaultSize="0" autoPict="0" r:id="rId18">
            <anchor moveWithCells="1" sizeWithCells="1">
              <from>
                <xdr:col>30</xdr:col>
                <xdr:colOff>0</xdr:colOff>
                <xdr:row>22</xdr:row>
                <xdr:rowOff>0</xdr:rowOff>
              </from>
              <to>
                <xdr:col>30</xdr:col>
                <xdr:colOff>0</xdr:colOff>
                <xdr:row>22</xdr:row>
                <xdr:rowOff>0</xdr:rowOff>
              </to>
            </anchor>
          </objectPr>
        </oleObject>
      </mc:Choice>
      <mc:Fallback>
        <oleObject progId="Equation.DSMT4" shapeId="4308" r:id="rId26"/>
      </mc:Fallback>
    </mc:AlternateContent>
    <mc:AlternateContent xmlns:mc="http://schemas.openxmlformats.org/markup-compatibility/2006">
      <mc:Choice Requires="x14">
        <oleObject progId="Word.Picture.8" shapeId="4703" r:id="rId27">
          <objectPr defaultSize="0" autoPict="0" r:id="rId28">
            <anchor moveWithCells="1" sizeWithCells="1">
              <from>
                <xdr:col>32</xdr:col>
                <xdr:colOff>0</xdr:colOff>
                <xdr:row>0</xdr:row>
                <xdr:rowOff>66675</xdr:rowOff>
              </from>
              <to>
                <xdr:col>32</xdr:col>
                <xdr:colOff>0</xdr:colOff>
                <xdr:row>36</xdr:row>
                <xdr:rowOff>133350</xdr:rowOff>
              </to>
            </anchor>
          </objectPr>
        </oleObject>
      </mc:Choice>
      <mc:Fallback>
        <oleObject progId="Word.Picture.8" shapeId="4703" r:id="rId27"/>
      </mc:Fallback>
    </mc:AlternateContent>
    <mc:AlternateContent xmlns:mc="http://schemas.openxmlformats.org/markup-compatibility/2006">
      <mc:Choice Requires="x14">
        <oleObject progId="Word.Picture.8" shapeId="4704" r:id="rId29">
          <objectPr defaultSize="0" autoPict="0" r:id="rId30">
            <anchor moveWithCells="1" sizeWithCells="1">
              <from>
                <xdr:col>32</xdr:col>
                <xdr:colOff>0</xdr:colOff>
                <xdr:row>3</xdr:row>
                <xdr:rowOff>28575</xdr:rowOff>
              </from>
              <to>
                <xdr:col>32</xdr:col>
                <xdr:colOff>0</xdr:colOff>
                <xdr:row>39</xdr:row>
                <xdr:rowOff>28575</xdr:rowOff>
              </to>
            </anchor>
          </objectPr>
        </oleObject>
      </mc:Choice>
      <mc:Fallback>
        <oleObject progId="Word.Picture.8" shapeId="4704" r:id="rId2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GEOMETRIJA</vt:lpstr>
      <vt:lpstr>List2</vt:lpstr>
      <vt:lpstr>List3</vt:lpstr>
    </vt:vector>
  </TitlesOfParts>
  <Company>Proteus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PROTEUS</dc:creator>
  <cp:lastModifiedBy>Milan</cp:lastModifiedBy>
  <cp:lastPrinted>2024-09-19T11:09:11Z</cp:lastPrinted>
  <dcterms:created xsi:type="dcterms:W3CDTF">2013-04-15T11:24:40Z</dcterms:created>
  <dcterms:modified xsi:type="dcterms:W3CDTF">2024-09-19T12:59:50Z</dcterms:modified>
</cp:coreProperties>
</file>