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M:\Site VITUS\www vitus REVIZIJA - 2024\Stranice sajta\Download\Proračunske aplikacije\"/>
    </mc:Choice>
  </mc:AlternateContent>
  <bookViews>
    <workbookView xWindow="5955" yWindow="-15" windowWidth="6000" windowHeight="6135" tabRatio="812"/>
  </bookViews>
  <sheets>
    <sheet name="MEHANIKA" sheetId="15" r:id="rId1"/>
  </sheets>
  <definedNames>
    <definedName name="AKTIV">"GotovOblik 925"</definedName>
  </definedNames>
  <calcPr calcId="152511" iterate="1"/>
</workbook>
</file>

<file path=xl/calcChain.xml><?xml version="1.0" encoding="utf-8"?>
<calcChain xmlns="http://schemas.openxmlformats.org/spreadsheetml/2006/main">
  <c r="G17" i="15" l="1"/>
  <c r="H17" i="15"/>
  <c r="J17" i="15"/>
  <c r="K17" i="15"/>
  <c r="G23" i="15"/>
  <c r="H23" i="15"/>
  <c r="J23" i="15"/>
  <c r="K23" i="15"/>
  <c r="G26" i="15"/>
  <c r="H26" i="15"/>
  <c r="J26" i="15"/>
  <c r="K26" i="15"/>
  <c r="G27" i="15"/>
  <c r="H27" i="15"/>
  <c r="J27" i="15"/>
  <c r="J56" i="15" s="1"/>
  <c r="K27" i="15"/>
  <c r="K56" i="15" s="1"/>
  <c r="G30" i="15"/>
  <c r="H30" i="15"/>
  <c r="J30" i="15"/>
  <c r="K30" i="15"/>
  <c r="G31" i="15"/>
  <c r="H31" i="15"/>
  <c r="J31" i="15"/>
  <c r="J45" i="15" s="1"/>
  <c r="K31" i="15"/>
  <c r="K45" i="15" s="1"/>
  <c r="G32" i="15"/>
  <c r="H32" i="15"/>
  <c r="J32" i="15"/>
  <c r="K32" i="15"/>
  <c r="G33" i="15"/>
  <c r="H33" i="15"/>
  <c r="J33" i="15"/>
  <c r="K33" i="15"/>
  <c r="G34" i="15"/>
  <c r="H34" i="15"/>
  <c r="J34" i="15"/>
  <c r="K34" i="15"/>
  <c r="J36" i="15"/>
  <c r="K36" i="15"/>
  <c r="J37" i="15"/>
  <c r="J65" i="15" s="1"/>
  <c r="G67" i="15" s="1"/>
  <c r="K37" i="15"/>
  <c r="K65" i="15" s="1"/>
  <c r="H67" i="15" s="1"/>
  <c r="K41" i="15"/>
  <c r="K44" i="15"/>
  <c r="G45" i="15"/>
  <c r="H45" i="15"/>
  <c r="G46" i="15"/>
  <c r="H46" i="15"/>
  <c r="G48" i="15"/>
  <c r="H48" i="15"/>
  <c r="J48" i="15"/>
  <c r="K48" i="15"/>
  <c r="G50" i="15"/>
  <c r="H50" i="15"/>
  <c r="J50" i="15"/>
  <c r="K50" i="15"/>
  <c r="G51" i="15"/>
  <c r="H51" i="15"/>
  <c r="J51" i="15"/>
  <c r="K51" i="15"/>
  <c r="G53" i="15"/>
  <c r="H53" i="15"/>
  <c r="J53" i="15"/>
  <c r="K53" i="15"/>
  <c r="G55" i="15"/>
  <c r="J55" i="15" s="1"/>
  <c r="H55" i="15"/>
  <c r="K55" i="15" s="1"/>
  <c r="G56" i="15"/>
  <c r="H56" i="15"/>
  <c r="G58" i="15"/>
  <c r="H58" i="15"/>
  <c r="G59" i="15"/>
  <c r="H59" i="15"/>
  <c r="G60" i="15"/>
  <c r="H60" i="15"/>
  <c r="G61" i="15"/>
  <c r="H61" i="15"/>
  <c r="G62" i="15"/>
  <c r="H62" i="15"/>
  <c r="G63" i="15"/>
  <c r="H63" i="15"/>
  <c r="G65" i="15"/>
  <c r="H65" i="15"/>
  <c r="G66" i="15"/>
  <c r="H66" i="15"/>
  <c r="G69" i="15"/>
  <c r="H69" i="15"/>
  <c r="G74" i="15"/>
  <c r="G97" i="15" s="1"/>
  <c r="H74" i="15"/>
  <c r="H97" i="15" s="1"/>
  <c r="G75" i="15"/>
  <c r="G76" i="15" s="1"/>
  <c r="G86" i="15" s="1"/>
  <c r="G88" i="15" s="1"/>
  <c r="H75" i="15"/>
  <c r="H76" i="15" s="1"/>
  <c r="H86" i="15" s="1"/>
  <c r="H88" i="15" s="1"/>
  <c r="J76" i="15"/>
  <c r="K76" i="15"/>
  <c r="G77" i="15"/>
  <c r="H77" i="15"/>
  <c r="J77" i="15"/>
  <c r="K77" i="15"/>
  <c r="G87" i="15"/>
  <c r="H87" i="15"/>
  <c r="J87" i="15"/>
  <c r="K87" i="15"/>
  <c r="K58" i="15" l="1"/>
  <c r="K61" i="15"/>
  <c r="K80" i="15"/>
  <c r="J58" i="15"/>
  <c r="J61" i="15"/>
  <c r="J80" i="15"/>
  <c r="H80" i="15"/>
  <c r="H79" i="15"/>
  <c r="H78" i="15"/>
  <c r="H84" i="15" s="1"/>
  <c r="H91" i="15" s="1"/>
  <c r="H93" i="15" s="1"/>
  <c r="H99" i="15" s="1"/>
  <c r="K74" i="15"/>
  <c r="K62" i="15"/>
  <c r="K66" i="15" s="1"/>
  <c r="K59" i="15"/>
  <c r="K46" i="15"/>
  <c r="G80" i="15"/>
  <c r="G79" i="15"/>
  <c r="G84" i="15" s="1"/>
  <c r="G91" i="15" s="1"/>
  <c r="G93" i="15" s="1"/>
  <c r="G99" i="15" s="1"/>
  <c r="G78" i="15"/>
  <c r="J74" i="15"/>
  <c r="J62" i="15"/>
  <c r="J66" i="15" s="1"/>
  <c r="J59" i="15"/>
  <c r="J46" i="15"/>
  <c r="J84" i="15" l="1"/>
  <c r="J91" i="15" s="1"/>
  <c r="K78" i="15"/>
  <c r="K79" i="15"/>
  <c r="K84" i="15" s="1"/>
  <c r="K91" i="15" s="1"/>
  <c r="K97" i="15"/>
  <c r="K86" i="15"/>
  <c r="K88" i="15" s="1"/>
  <c r="J60" i="15"/>
  <c r="J63" i="15"/>
  <c r="J67" i="15" s="1"/>
  <c r="G68" i="15" s="1"/>
  <c r="J78" i="15"/>
  <c r="J79" i="15"/>
  <c r="J86" i="15"/>
  <c r="J88" i="15" s="1"/>
  <c r="J97" i="15"/>
  <c r="K60" i="15"/>
  <c r="K63" i="15"/>
  <c r="K67" i="15" s="1"/>
  <c r="H68" i="15" s="1"/>
  <c r="H70" i="15" l="1"/>
  <c r="K69" i="15"/>
  <c r="G70" i="15"/>
  <c r="J69" i="15"/>
  <c r="J93" i="15"/>
  <c r="J99" i="15" s="1"/>
  <c r="K93" i="15"/>
  <c r="K99" i="15" s="1"/>
  <c r="H83" i="15" l="1"/>
  <c r="H90" i="15" s="1"/>
  <c r="H92" i="15" s="1"/>
  <c r="H100" i="15" s="1"/>
  <c r="K83" i="15"/>
  <c r="K90" i="15" s="1"/>
  <c r="K92" i="15" s="1"/>
  <c r="K100" i="15" s="1"/>
  <c r="G83" i="15"/>
  <c r="G90" i="15" s="1"/>
  <c r="G92" i="15" s="1"/>
  <c r="G100" i="15" s="1"/>
  <c r="J83" i="15"/>
  <c r="J90" i="15" s="1"/>
  <c r="J92" i="15" s="1"/>
  <c r="J100" i="15" s="1"/>
</calcChain>
</file>

<file path=xl/sharedStrings.xml><?xml version="1.0" encoding="utf-8"?>
<sst xmlns="http://schemas.openxmlformats.org/spreadsheetml/2006/main" count="350" uniqueCount="288">
  <si>
    <t>Linearna aproksimacija</t>
  </si>
  <si>
    <t>Spoljašnji prečnik omotača</t>
  </si>
  <si>
    <t>PRORAČUN  PRIRUBNICA, PREMA EN 13445-3</t>
  </si>
  <si>
    <t>Labava metoda</t>
  </si>
  <si>
    <t xml:space="preserve">Korak 1 </t>
  </si>
  <si>
    <t>OSNOVNI PODACI</t>
  </si>
  <si>
    <r>
      <t>T</t>
    </r>
    <r>
      <rPr>
        <i/>
        <vertAlign val="subscript"/>
        <sz val="10"/>
        <color indexed="8"/>
        <rFont val="Times New Roman"/>
        <family val="1"/>
      </rPr>
      <t>d1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</si>
  <si>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r>
      <t>T</t>
    </r>
    <r>
      <rPr>
        <i/>
        <vertAlign val="subscript"/>
        <sz val="10"/>
        <color indexed="8"/>
        <rFont val="Times New Roman"/>
        <family val="1"/>
      </rPr>
      <t>d2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</si>
  <si>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t xml:space="preserve">Korak 2 </t>
  </si>
  <si>
    <t>GEOMETRIJA OMOTAČA</t>
  </si>
  <si>
    <t>Glava</t>
  </si>
  <si>
    <t>Snop cevi</t>
  </si>
  <si>
    <r>
      <t>D</t>
    </r>
    <r>
      <rPr>
        <i/>
        <vertAlign val="subscript"/>
        <sz val="10"/>
        <color indexed="8"/>
        <rFont val="Times New Roman"/>
        <family val="1"/>
      </rPr>
      <t>s1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</si>
  <si>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D</t>
    </r>
    <r>
      <rPr>
        <i/>
        <vertAlign val="subscript"/>
        <sz val="10"/>
        <color indexed="8"/>
        <rFont val="Times New Roman"/>
        <family val="1"/>
      </rPr>
      <t>s2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</si>
  <si>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Proračunska debljina zida omotača</t>
  </si>
  <si>
    <r>
      <t>d</t>
    </r>
    <r>
      <rPr>
        <i/>
        <vertAlign val="subscript"/>
        <sz val="10"/>
        <color indexed="8"/>
        <rFont val="Times New Roman"/>
        <family val="1"/>
      </rPr>
      <t>o1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</si>
  <si>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d</t>
    </r>
    <r>
      <rPr>
        <i/>
        <vertAlign val="subscript"/>
        <sz val="10"/>
        <color indexed="8"/>
        <rFont val="Times New Roman"/>
        <family val="1"/>
      </rPr>
      <t>o2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</si>
  <si>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Unutrašnji prečnik omotača</t>
  </si>
  <si>
    <r>
      <t>D</t>
    </r>
    <r>
      <rPr>
        <i/>
        <vertAlign val="subscript"/>
        <sz val="10"/>
        <color indexed="8"/>
        <rFont val="Times New Roman"/>
        <family val="1"/>
      </rPr>
      <t>u1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</si>
  <si>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D</t>
    </r>
    <r>
      <rPr>
        <i/>
        <vertAlign val="subscript"/>
        <sz val="10"/>
        <color indexed="8"/>
        <rFont val="Times New Roman"/>
        <family val="1"/>
      </rPr>
      <t>u2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</si>
  <si>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 xml:space="preserve">Korak 3 </t>
  </si>
  <si>
    <t>GEOMETRIJA ZAPTIVAČA</t>
  </si>
  <si>
    <t xml:space="preserve">Zaptivač: Meki pljosnati </t>
  </si>
  <si>
    <t xml:space="preserve"> TEADIT NA1002</t>
  </si>
  <si>
    <t>Faktor zaptivača</t>
  </si>
  <si>
    <r>
      <t>m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 - ]</t>
    </r>
  </si>
  <si>
    <r>
      <t>m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 - ]</t>
    </r>
  </si>
  <si>
    <t>Faktor pritiska zaptivača</t>
  </si>
  <si>
    <r>
      <t>y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[MPa]</t>
    </r>
  </si>
  <si>
    <r>
      <t>y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[MPa]</t>
    </r>
  </si>
  <si>
    <t>Debljina zaptivača</t>
  </si>
  <si>
    <r>
      <t>e</t>
    </r>
    <r>
      <rPr>
        <i/>
        <vertAlign val="subscript"/>
        <sz val="10"/>
        <color indexed="8"/>
        <rFont val="Times New Roman"/>
        <family val="1"/>
      </rPr>
      <t>G1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</si>
  <si>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e</t>
    </r>
    <r>
      <rPr>
        <i/>
        <vertAlign val="subscript"/>
        <sz val="10"/>
        <color indexed="8"/>
        <rFont val="Times New Roman"/>
        <family val="1"/>
      </rPr>
      <t>G2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</si>
  <si>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 xml:space="preserve">Širina zaptivača  (Rikalović) </t>
  </si>
  <si>
    <r>
      <t>b</t>
    </r>
    <r>
      <rPr>
        <i/>
        <vertAlign val="subscript"/>
        <sz val="10"/>
        <color indexed="8"/>
        <rFont val="Times New Roman"/>
        <family val="1"/>
      </rPr>
      <t>o1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</si>
  <si>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r>
      <t>b</t>
    </r>
    <r>
      <rPr>
        <i/>
        <vertAlign val="subscript"/>
        <sz val="10"/>
        <color indexed="8"/>
        <rFont val="Times New Roman"/>
        <family val="1"/>
      </rPr>
      <t>o2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</si>
  <si>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r>
      <t>w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</si>
  <si>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r>
      <t>w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</si>
  <si>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t xml:space="preserve">Usvojena širina zaptivača </t>
  </si>
  <si>
    <r>
      <t>b</t>
    </r>
    <r>
      <rPr>
        <i/>
        <vertAlign val="subscript"/>
        <sz val="10"/>
        <color indexed="8"/>
        <rFont val="Times New Roman"/>
        <family val="1"/>
      </rPr>
      <t>o1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</si>
  <si>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b</t>
    </r>
    <r>
      <rPr>
        <i/>
        <vertAlign val="subscript"/>
        <sz val="10"/>
        <color indexed="8"/>
        <rFont val="Times New Roman"/>
        <family val="1"/>
      </rPr>
      <t>o2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</si>
  <si>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Efektivna širina zaptivača (3.37)</t>
  </si>
  <si>
    <r>
      <t>b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</si>
  <si>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r>
      <t>b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[mm]</t>
    </r>
  </si>
  <si>
    <r>
      <t>b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</si>
  <si>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b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</si>
  <si>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 xml:space="preserve">Korak 4 </t>
  </si>
  <si>
    <t>Debljina glavčine na kraju (manja)</t>
  </si>
  <si>
    <r>
      <t>g</t>
    </r>
    <r>
      <rPr>
        <i/>
        <vertAlign val="subscript"/>
        <sz val="10"/>
        <color indexed="8"/>
        <rFont val="Times New Roman"/>
        <family val="1"/>
      </rPr>
      <t>01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</si>
  <si>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g</t>
    </r>
    <r>
      <rPr>
        <i/>
        <vertAlign val="subscript"/>
        <sz val="10"/>
        <color indexed="8"/>
        <rFont val="Times New Roman"/>
        <family val="1"/>
      </rPr>
      <t>02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</si>
  <si>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Unutrašnji prečnik prirubnice</t>
  </si>
  <si>
    <r>
      <t>B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</si>
  <si>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Krak zavara</t>
  </si>
  <si>
    <r>
      <t>c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</si>
  <si>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c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</si>
  <si>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Osnova zavara</t>
  </si>
  <si>
    <r>
      <t>h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</si>
  <si>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h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</si>
  <si>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Debljina glavčine na početku (veća) g1=go+h</t>
  </si>
  <si>
    <r>
      <t>g</t>
    </r>
    <r>
      <rPr>
        <i/>
        <vertAlign val="subscript"/>
        <sz val="10"/>
        <color indexed="8"/>
        <rFont val="Times New Roman"/>
        <family val="1"/>
      </rPr>
      <t>11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</si>
  <si>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g</t>
    </r>
    <r>
      <rPr>
        <i/>
        <vertAlign val="subscript"/>
        <sz val="10"/>
        <color indexed="8"/>
        <rFont val="Times New Roman"/>
        <family val="1"/>
      </rPr>
      <t>12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</si>
  <si>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Radijalni otklon, TEMA, TAB. 1.55</t>
  </si>
  <si>
    <r>
      <t>R</t>
    </r>
    <r>
      <rPr>
        <i/>
        <vertAlign val="subscript"/>
        <sz val="10"/>
        <color indexed="8"/>
        <rFont val="Times New Roman"/>
        <family val="1"/>
      </rPr>
      <t>r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</si>
  <si>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Otklon kraja prirubnice, TEMA, TAB. 1.55</t>
  </si>
  <si>
    <r>
      <t>E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</si>
  <si>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Prečnik podeonog kruga C=B+2(Rr+h)</t>
  </si>
  <si>
    <r>
      <t>C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</si>
  <si>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C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</si>
  <si>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Usvojeni prečnik podeonog kruga</t>
  </si>
  <si>
    <r>
      <t>C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</si>
  <si>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Usvojeni prečnik vijaka spoja na bazi analize</t>
  </si>
  <si>
    <t>M20x2,5</t>
  </si>
  <si>
    <t>Prečnik usvojenog vijka</t>
  </si>
  <si>
    <r>
      <t>d</t>
    </r>
    <r>
      <rPr>
        <i/>
        <vertAlign val="subscript"/>
        <sz val="10"/>
        <color indexed="8"/>
        <rFont val="Times New Roman"/>
        <family val="1"/>
      </rPr>
      <t>b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</si>
  <si>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 xml:space="preserve">Minimalno razmak za ključ Tab. PBI-701 </t>
    </r>
    <r>
      <rPr>
        <i/>
        <sz val="9"/>
        <rFont val="Symbol"/>
        <family val="1"/>
        <charset val="2"/>
      </rPr>
      <t>d</t>
    </r>
    <r>
      <rPr>
        <i/>
        <sz val="7"/>
        <rFont val="Arial"/>
        <family val="2"/>
      </rPr>
      <t>min</t>
    </r>
  </si>
  <si>
    <t>okasti</t>
  </si>
  <si>
    <t>viljuškasti</t>
  </si>
  <si>
    <r>
      <t xml:space="preserve">Maksimalni broj vijaka po ključu </t>
    </r>
    <r>
      <rPr>
        <i/>
        <sz val="9"/>
        <rFont val="Arial"/>
        <family val="2"/>
      </rPr>
      <t>n</t>
    </r>
    <r>
      <rPr>
        <i/>
        <sz val="7"/>
        <rFont val="Arial"/>
        <family val="2"/>
      </rPr>
      <t>max</t>
    </r>
    <r>
      <rPr>
        <i/>
        <sz val="9"/>
        <rFont val="Arial"/>
        <family val="2"/>
      </rPr>
      <t>=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>C/</t>
    </r>
    <r>
      <rPr>
        <i/>
        <sz val="9"/>
        <rFont val="Symbol"/>
        <family val="1"/>
        <charset val="2"/>
      </rPr>
      <t>d</t>
    </r>
    <r>
      <rPr>
        <i/>
        <sz val="7"/>
        <rFont val="Arial"/>
        <family val="2"/>
      </rPr>
      <t>min</t>
    </r>
  </si>
  <si>
    <r>
      <t>n</t>
    </r>
    <r>
      <rPr>
        <i/>
        <vertAlign val="subscript"/>
        <sz val="10"/>
        <color indexed="8"/>
        <rFont val="Times New Roman"/>
        <family val="1"/>
      </rPr>
      <t>max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 - ]</t>
    </r>
  </si>
  <si>
    <t>Širina prema ASME VIII div1 mand. 2 Tab 2-4</t>
  </si>
  <si>
    <r>
      <t>Debljina prirubnice PRETPOSTAVKA (</t>
    </r>
    <r>
      <rPr>
        <sz val="7"/>
        <rFont val="Arial"/>
        <family val="2"/>
      </rPr>
      <t>www,p3</t>
    </r>
    <r>
      <rPr>
        <sz val="9"/>
        <rFont val="Arial"/>
        <family val="2"/>
      </rPr>
      <t>)</t>
    </r>
  </si>
  <si>
    <r>
      <t>t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</si>
  <si>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t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</si>
  <si>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Max razmak vijaka jedn. (3.35) prema TEMA</t>
  </si>
  <si>
    <r>
      <t>B</t>
    </r>
    <r>
      <rPr>
        <i/>
        <vertAlign val="subscript"/>
        <sz val="10"/>
        <color indexed="8"/>
        <rFont val="Times New Roman"/>
        <family val="1"/>
      </rPr>
      <t>max1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</si>
  <si>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 xml:space="preserve">Min. broj vijaka prema razmaku </t>
    </r>
    <r>
      <rPr>
        <i/>
        <sz val="9"/>
        <rFont val="Arial"/>
        <family val="2"/>
      </rPr>
      <t>n</t>
    </r>
    <r>
      <rPr>
        <i/>
        <sz val="7"/>
        <rFont val="Arial"/>
        <family val="2"/>
      </rPr>
      <t>min</t>
    </r>
    <r>
      <rPr>
        <i/>
        <sz val="9"/>
        <rFont val="Arial"/>
        <family val="2"/>
      </rPr>
      <t>=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>C/B</t>
    </r>
    <r>
      <rPr>
        <i/>
        <sz val="7"/>
        <rFont val="Arial"/>
        <family val="2"/>
      </rPr>
      <t>max</t>
    </r>
  </si>
  <si>
    <r>
      <t>n</t>
    </r>
    <r>
      <rPr>
        <i/>
        <vertAlign val="subscript"/>
        <sz val="10"/>
        <color indexed="8"/>
        <rFont val="Times New Roman"/>
        <family val="1"/>
      </rPr>
      <t>min1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 - ]</t>
    </r>
  </si>
  <si>
    <r>
      <t>n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 - ]</t>
    </r>
  </si>
  <si>
    <t>Usvojeni broj vijaka, između min i max</t>
  </si>
  <si>
    <r>
      <t>d</t>
    </r>
    <r>
      <rPr>
        <i/>
        <vertAlign val="subscript"/>
        <sz val="10"/>
        <color indexed="8"/>
        <rFont val="Times New Roman"/>
        <family val="1"/>
      </rPr>
      <t>L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</si>
  <si>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t>Prečnik rupe za prolaz vijka TAB. 1.50</t>
  </si>
  <si>
    <t>Usvojeni klirens zaptivača od rupe vijka</t>
  </si>
  <si>
    <r>
      <rPr>
        <i/>
        <sz val="10"/>
        <color indexed="8"/>
        <rFont val="Symbol"/>
        <family val="1"/>
        <charset val="2"/>
      </rPr>
      <t>d</t>
    </r>
    <r>
      <rPr>
        <i/>
        <sz val="8"/>
        <color indexed="8"/>
        <rFont val="Times New Roman"/>
        <family val="1"/>
      </rPr>
      <t>G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</si>
  <si>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G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</si>
  <si>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G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</si>
  <si>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H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</si>
  <si>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H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</si>
  <si>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H</t>
    </r>
    <r>
      <rPr>
        <i/>
        <vertAlign val="subscript"/>
        <sz val="10"/>
        <color indexed="8"/>
        <rFont val="Times New Roman"/>
        <family val="1"/>
      </rPr>
      <t>G1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</si>
  <si>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H</t>
    </r>
    <r>
      <rPr>
        <i/>
        <vertAlign val="subscript"/>
        <sz val="10"/>
        <color indexed="8"/>
        <rFont val="Times New Roman"/>
        <family val="1"/>
      </rPr>
      <t>G2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</si>
  <si>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 xml:space="preserve">Kompresiona sila zaptivača </t>
    </r>
    <r>
      <rPr>
        <i/>
        <sz val="9"/>
        <rFont val="Arial"/>
        <family val="2"/>
      </rPr>
      <t>H</t>
    </r>
    <r>
      <rPr>
        <i/>
        <sz val="7"/>
        <rFont val="Arial"/>
        <family val="2"/>
      </rPr>
      <t>G</t>
    </r>
    <r>
      <rPr>
        <i/>
        <sz val="9"/>
        <rFont val="Arial"/>
        <family val="2"/>
      </rPr>
      <t>=2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 xml:space="preserve"> G b m P</t>
    </r>
  </si>
  <si>
    <r>
      <t>Radna sila u vijcima  W</t>
    </r>
    <r>
      <rPr>
        <i/>
        <sz val="7"/>
        <rFont val="Arial"/>
        <family val="2"/>
      </rPr>
      <t>op</t>
    </r>
    <r>
      <rPr>
        <i/>
        <sz val="9"/>
        <rFont val="Arial"/>
        <family val="2"/>
      </rPr>
      <t>= H + H</t>
    </r>
    <r>
      <rPr>
        <i/>
        <sz val="7"/>
        <rFont val="Arial"/>
        <family val="2"/>
      </rPr>
      <t>G</t>
    </r>
    <r>
      <rPr>
        <i/>
        <sz val="9"/>
        <rFont val="Arial"/>
        <family val="2"/>
      </rPr>
      <t xml:space="preserve">  (3.40)</t>
    </r>
  </si>
  <si>
    <r>
      <t>W</t>
    </r>
    <r>
      <rPr>
        <i/>
        <vertAlign val="subscript"/>
        <sz val="10"/>
        <color indexed="8"/>
        <rFont val="Times New Roman"/>
        <family val="1"/>
      </rPr>
      <t>A1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</si>
  <si>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W</t>
    </r>
    <r>
      <rPr>
        <i/>
        <vertAlign val="subscript"/>
        <sz val="10"/>
        <color indexed="8"/>
        <rFont val="Times New Roman"/>
        <family val="1"/>
      </rPr>
      <t>op1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</si>
  <si>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W</t>
    </r>
    <r>
      <rPr>
        <i/>
        <vertAlign val="subscript"/>
        <sz val="10"/>
        <color indexed="8"/>
        <rFont val="Times New Roman"/>
        <family val="1"/>
      </rPr>
      <t>A2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</si>
  <si>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W</t>
    </r>
    <r>
      <rPr>
        <i/>
        <vertAlign val="subscript"/>
        <sz val="10"/>
        <color indexed="8"/>
        <rFont val="Times New Roman"/>
        <family val="1"/>
      </rPr>
      <t>op2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</si>
  <si>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t>Noseći presek (jezgro) vijka TAB.1.49</t>
  </si>
  <si>
    <r>
      <t>A</t>
    </r>
    <r>
      <rPr>
        <i/>
        <vertAlign val="subscript"/>
        <sz val="10"/>
        <color indexed="8"/>
        <rFont val="Times New Roman"/>
        <family val="1"/>
      </rPr>
      <t>k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]</t>
    </r>
  </si>
  <si>
    <r>
      <t xml:space="preserve">Ukupna hidrostatička sila </t>
    </r>
    <r>
      <rPr>
        <i/>
        <sz val="9"/>
        <rFont val="Arial"/>
        <family val="2"/>
      </rPr>
      <t>H=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 xml:space="preserve"> G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P/4  (3.38)</t>
    </r>
  </si>
  <si>
    <r>
      <t>P</t>
    </r>
    <r>
      <rPr>
        <i/>
        <vertAlign val="subscript"/>
        <sz val="10"/>
        <color indexed="8"/>
        <rFont val="Times New Roman"/>
        <family val="1"/>
      </rPr>
      <t>d1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[MPa]</t>
    </r>
  </si>
  <si>
    <r>
      <t xml:space="preserve">Hidrostatička sila od omotača </t>
    </r>
    <r>
      <rPr>
        <i/>
        <sz val="9"/>
        <rFont val="Arial"/>
        <family val="2"/>
      </rPr>
      <t>H</t>
    </r>
    <r>
      <rPr>
        <i/>
        <sz val="7"/>
        <rFont val="Arial"/>
        <family val="2"/>
      </rPr>
      <t>D</t>
    </r>
    <r>
      <rPr>
        <i/>
        <sz val="9"/>
        <rFont val="Arial"/>
        <family val="2"/>
      </rPr>
      <t>=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 xml:space="preserve"> B</t>
    </r>
    <r>
      <rPr>
        <i/>
        <vertAlign val="superscript"/>
        <sz val="9"/>
        <rFont val="Arial"/>
        <family val="2"/>
      </rPr>
      <t>2</t>
    </r>
    <r>
      <rPr>
        <i/>
        <sz val="9"/>
        <rFont val="Arial"/>
        <family val="2"/>
      </rPr>
      <t>P/4</t>
    </r>
  </si>
  <si>
    <r>
      <t>H</t>
    </r>
    <r>
      <rPr>
        <i/>
        <vertAlign val="subscript"/>
        <sz val="10"/>
        <color indexed="8"/>
        <rFont val="Times New Roman"/>
        <family val="1"/>
      </rPr>
      <t>D1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</si>
  <si>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H</t>
    </r>
    <r>
      <rPr>
        <i/>
        <vertAlign val="subscript"/>
        <sz val="10"/>
        <color indexed="8"/>
        <rFont val="Times New Roman"/>
        <family val="1"/>
      </rPr>
      <t>D2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</si>
  <si>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 xml:space="preserve">Hidrostatička sila čela prirubnice </t>
    </r>
    <r>
      <rPr>
        <i/>
        <sz val="9"/>
        <rFont val="Arial"/>
        <family val="2"/>
      </rPr>
      <t>H</t>
    </r>
    <r>
      <rPr>
        <i/>
        <sz val="7"/>
        <rFont val="Arial"/>
        <family val="2"/>
      </rPr>
      <t>T</t>
    </r>
    <r>
      <rPr>
        <i/>
        <sz val="9"/>
        <rFont val="Arial"/>
        <family val="2"/>
      </rPr>
      <t>=H-H</t>
    </r>
    <r>
      <rPr>
        <i/>
        <sz val="7"/>
        <rFont val="Arial"/>
        <family val="2"/>
      </rPr>
      <t>D</t>
    </r>
  </si>
  <si>
    <r>
      <t>H</t>
    </r>
    <r>
      <rPr>
        <i/>
        <vertAlign val="subscript"/>
        <sz val="10"/>
        <color indexed="8"/>
        <rFont val="Times New Roman"/>
        <family val="1"/>
      </rPr>
      <t>T1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</si>
  <si>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H</t>
    </r>
    <r>
      <rPr>
        <i/>
        <vertAlign val="subscript"/>
        <sz val="10"/>
        <color indexed="8"/>
        <rFont val="Times New Roman"/>
        <family val="1"/>
      </rPr>
      <t>T2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</si>
  <si>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r>
      <t>Ugradna sila u vijcima  W</t>
    </r>
    <r>
      <rPr>
        <i/>
        <sz val="7"/>
        <rFont val="Arial"/>
        <family val="2"/>
      </rPr>
      <t>A</t>
    </r>
    <r>
      <rPr>
        <i/>
        <sz val="9"/>
        <rFont val="Arial"/>
        <family val="2"/>
      </rPr>
      <t>=</t>
    </r>
    <r>
      <rPr>
        <i/>
        <sz val="9"/>
        <rFont val="Symbol"/>
        <family val="1"/>
        <charset val="2"/>
      </rPr>
      <t>p</t>
    </r>
    <r>
      <rPr>
        <i/>
        <sz val="9"/>
        <rFont val="Arial"/>
        <family val="2"/>
      </rPr>
      <t xml:space="preserve"> b G y   (3.40)</t>
    </r>
  </si>
  <si>
    <t>Provera nosivosti vijka</t>
  </si>
  <si>
    <t>Materijal - klasa vijka TAB.1.52;1.53</t>
  </si>
  <si>
    <t>8.8</t>
  </si>
  <si>
    <r>
      <t xml:space="preserve">Prečnik ose ef. širine zaptiv. </t>
    </r>
    <r>
      <rPr>
        <i/>
        <sz val="9"/>
        <rFont val="Arial"/>
        <family val="2"/>
      </rPr>
      <t>G=C-d</t>
    </r>
    <r>
      <rPr>
        <i/>
        <sz val="7"/>
        <rFont val="Arial"/>
        <family val="2"/>
      </rPr>
      <t>L</t>
    </r>
    <r>
      <rPr>
        <i/>
        <sz val="9"/>
        <rFont val="Arial"/>
        <family val="2"/>
      </rPr>
      <t>-2</t>
    </r>
    <r>
      <rPr>
        <i/>
        <sz val="9"/>
        <rFont val="Symbol"/>
        <family val="1"/>
        <charset val="2"/>
      </rPr>
      <t>d</t>
    </r>
    <r>
      <rPr>
        <i/>
        <sz val="7"/>
        <rFont val="Arial"/>
        <family val="2"/>
      </rPr>
      <t>G</t>
    </r>
    <r>
      <rPr>
        <i/>
        <sz val="9"/>
        <rFont val="Arial"/>
        <family val="2"/>
      </rPr>
      <t>-2b</t>
    </r>
  </si>
  <si>
    <t>Radna temperatura vijaka - spoljašnji</t>
  </si>
  <si>
    <r>
      <t>T</t>
    </r>
    <r>
      <rPr>
        <i/>
        <vertAlign val="subscript"/>
        <sz val="10"/>
        <color indexed="8"/>
        <rFont val="Times New Roman"/>
        <family val="1"/>
      </rPr>
      <t>v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</si>
  <si>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t>Zatezna i čvrstoća tečenja vijaka</t>
  </si>
  <si>
    <r>
      <t>R</t>
    </r>
    <r>
      <rPr>
        <i/>
        <vertAlign val="subscript"/>
        <sz val="10"/>
        <color indexed="8"/>
        <rFont val="Times New Roman"/>
        <family val="1"/>
      </rPr>
      <t>m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[MPa]</t>
    </r>
  </si>
  <si>
    <r>
      <t>R</t>
    </r>
    <r>
      <rPr>
        <i/>
        <vertAlign val="subscript"/>
        <sz val="8"/>
        <color indexed="8"/>
        <rFont val="Times New Roman"/>
        <family val="1"/>
      </rPr>
      <t>p0,2/T</t>
    </r>
    <r>
      <rPr>
        <sz val="8"/>
        <color indexed="8"/>
        <rFont val="YU L Swiss"/>
        <family val="2"/>
      </rPr>
      <t xml:space="preserve"> </t>
    </r>
    <r>
      <rPr>
        <sz val="8"/>
        <color indexed="8"/>
        <rFont val="Arial"/>
        <family val="2"/>
      </rPr>
      <t>[MPa]</t>
    </r>
  </si>
  <si>
    <t>ČV 8.8</t>
  </si>
  <si>
    <t>klasa (ČV)</t>
  </si>
  <si>
    <r>
      <t>f</t>
    </r>
    <r>
      <rPr>
        <i/>
        <sz val="8"/>
        <color indexed="8"/>
        <rFont val="Times New Roman"/>
        <family val="1"/>
      </rPr>
      <t>B,A</t>
    </r>
    <r>
      <rPr>
        <i/>
        <sz val="10"/>
        <color indexed="8"/>
        <rFont val="Times New Roman"/>
        <family val="1"/>
      </rPr>
      <t>=R</t>
    </r>
    <r>
      <rPr>
        <i/>
        <vertAlign val="subscript"/>
        <sz val="10"/>
        <color indexed="8"/>
        <rFont val="Times New Roman"/>
        <family val="1"/>
      </rPr>
      <t>m</t>
    </r>
    <r>
      <rPr>
        <sz val="10"/>
        <color indexed="8"/>
        <rFont val="Arial"/>
        <family val="2"/>
      </rPr>
      <t>/4</t>
    </r>
  </si>
  <si>
    <r>
      <t>fB=R</t>
    </r>
    <r>
      <rPr>
        <i/>
        <vertAlign val="subscript"/>
        <sz val="8"/>
        <color indexed="8"/>
        <rFont val="Times New Roman"/>
        <family val="1"/>
      </rPr>
      <t>p0,2/T</t>
    </r>
    <r>
      <rPr>
        <sz val="8"/>
        <color indexed="8"/>
        <rFont val="YU L Swiss"/>
        <family val="2"/>
      </rPr>
      <t xml:space="preserve"> </t>
    </r>
    <r>
      <rPr>
        <sz val="8"/>
        <color indexed="8"/>
        <rFont val="Arial"/>
        <family val="2"/>
      </rPr>
      <t>/3</t>
    </r>
  </si>
  <si>
    <t>Ugradni i radni nominalni napon vijka  MPa</t>
  </si>
  <si>
    <r>
      <t xml:space="preserve">Ukupni presek vijaka - ugradno stanje </t>
    </r>
    <r>
      <rPr>
        <i/>
        <sz val="9"/>
        <rFont val="Arial"/>
        <family val="2"/>
      </rPr>
      <t>W</t>
    </r>
    <r>
      <rPr>
        <i/>
        <sz val="7"/>
        <rFont val="Arial"/>
        <family val="2"/>
      </rPr>
      <t>A</t>
    </r>
    <r>
      <rPr>
        <i/>
        <sz val="9"/>
        <rFont val="Arial"/>
        <family val="2"/>
      </rPr>
      <t>/f</t>
    </r>
    <r>
      <rPr>
        <i/>
        <sz val="7"/>
        <rFont val="Arial"/>
        <family val="2"/>
      </rPr>
      <t>B,A</t>
    </r>
  </si>
  <si>
    <r>
      <t>A</t>
    </r>
    <r>
      <rPr>
        <i/>
        <vertAlign val="subscript"/>
        <sz val="10"/>
        <color indexed="8"/>
        <rFont val="Times New Roman"/>
        <family val="1"/>
      </rPr>
      <t>B1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]</t>
    </r>
  </si>
  <si>
    <r>
      <t>A</t>
    </r>
    <r>
      <rPr>
        <i/>
        <vertAlign val="subscript"/>
        <sz val="10"/>
        <color indexed="8"/>
        <rFont val="Times New Roman"/>
        <family val="1"/>
      </rPr>
      <t>B2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]</t>
    </r>
  </si>
  <si>
    <r>
      <t xml:space="preserve">Ukupni presek vijaka - radno stanje </t>
    </r>
    <r>
      <rPr>
        <i/>
        <sz val="9"/>
        <rFont val="Arial"/>
        <family val="2"/>
      </rPr>
      <t>W</t>
    </r>
    <r>
      <rPr>
        <i/>
        <sz val="7"/>
        <rFont val="Arial"/>
        <family val="2"/>
      </rPr>
      <t>op</t>
    </r>
    <r>
      <rPr>
        <i/>
        <sz val="9"/>
        <rFont val="Arial"/>
        <family val="2"/>
      </rPr>
      <t>/f</t>
    </r>
    <r>
      <rPr>
        <i/>
        <sz val="7"/>
        <rFont val="Arial"/>
        <family val="2"/>
      </rPr>
      <t>B</t>
    </r>
  </si>
  <si>
    <r>
      <t xml:space="preserve">Minimalni ukupni presek vijaka - </t>
    </r>
    <r>
      <rPr>
        <i/>
        <sz val="9"/>
        <rFont val="Arial"/>
        <family val="2"/>
      </rPr>
      <t>max(W</t>
    </r>
    <r>
      <rPr>
        <i/>
        <sz val="7"/>
        <rFont val="Arial"/>
        <family val="2"/>
      </rPr>
      <t>A</t>
    </r>
    <r>
      <rPr>
        <i/>
        <sz val="9"/>
        <rFont val="Arial"/>
        <family val="2"/>
      </rPr>
      <t>/f</t>
    </r>
    <r>
      <rPr>
        <i/>
        <sz val="7"/>
        <rFont val="Arial"/>
        <family val="2"/>
      </rPr>
      <t>B,A</t>
    </r>
    <r>
      <rPr>
        <i/>
        <sz val="9"/>
        <rFont val="Arial"/>
        <family val="2"/>
      </rPr>
      <t>;W</t>
    </r>
    <r>
      <rPr>
        <i/>
        <sz val="7"/>
        <rFont val="Arial"/>
        <family val="2"/>
      </rPr>
      <t>op</t>
    </r>
    <r>
      <rPr>
        <i/>
        <sz val="9"/>
        <rFont val="Arial"/>
        <family val="2"/>
      </rPr>
      <t>/f</t>
    </r>
    <r>
      <rPr>
        <i/>
        <sz val="7"/>
        <rFont val="Arial"/>
        <family val="2"/>
      </rPr>
      <t>B</t>
    </r>
    <r>
      <rPr>
        <i/>
        <sz val="9"/>
        <rFont val="Arial"/>
        <family val="2"/>
      </rPr>
      <t>)</t>
    </r>
  </si>
  <si>
    <r>
      <t>A</t>
    </r>
    <r>
      <rPr>
        <i/>
        <vertAlign val="subscript"/>
        <sz val="10"/>
        <color indexed="8"/>
        <rFont val="Times New Roman"/>
        <family val="1"/>
      </rPr>
      <t>Bmin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]</t>
    </r>
  </si>
  <si>
    <r>
      <t>Ukupni presek usvojenih vijaka -</t>
    </r>
    <r>
      <rPr>
        <i/>
        <sz val="9"/>
        <rFont val="Arial"/>
        <family val="2"/>
      </rPr>
      <t xml:space="preserve"> n A</t>
    </r>
    <r>
      <rPr>
        <i/>
        <sz val="7"/>
        <rFont val="Arial"/>
        <family val="2"/>
      </rPr>
      <t>k</t>
    </r>
  </si>
  <si>
    <r>
      <t>A</t>
    </r>
    <r>
      <rPr>
        <i/>
        <vertAlign val="subscript"/>
        <sz val="10"/>
        <color indexed="8"/>
        <rFont val="Times New Roman"/>
        <family val="1"/>
      </rPr>
      <t>B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</t>
    </r>
    <r>
      <rPr>
        <vertAlign val="super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>]</t>
    </r>
  </si>
  <si>
    <r>
      <t>A</t>
    </r>
    <r>
      <rPr>
        <i/>
        <sz val="8"/>
        <rFont val="Times New Roman"/>
        <family val="1"/>
      </rPr>
      <t>B</t>
    </r>
    <r>
      <rPr>
        <i/>
        <sz val="11"/>
        <rFont val="Calibri"/>
        <family val="2"/>
      </rPr>
      <t>&gt;</t>
    </r>
    <r>
      <rPr>
        <i/>
        <sz val="11"/>
        <rFont val="Times New Roman"/>
        <family val="1"/>
      </rPr>
      <t>A</t>
    </r>
    <r>
      <rPr>
        <i/>
        <sz val="8"/>
        <rFont val="Times New Roman"/>
        <family val="1"/>
      </rPr>
      <t>Bmin</t>
    </r>
  </si>
  <si>
    <r>
      <t>Opterećenje vijaka - ugradno stanje</t>
    </r>
    <r>
      <rPr>
        <i/>
        <sz val="9"/>
        <rFont val="Arial"/>
        <family val="2"/>
      </rPr>
      <t xml:space="preserve"> </t>
    </r>
    <r>
      <rPr>
        <i/>
        <sz val="8"/>
        <rFont val="Arial"/>
        <family val="2"/>
      </rPr>
      <t>W=0,5(A</t>
    </r>
    <r>
      <rPr>
        <i/>
        <sz val="7"/>
        <rFont val="Arial"/>
        <family val="2"/>
      </rPr>
      <t>Bmin</t>
    </r>
    <r>
      <rPr>
        <i/>
        <sz val="9"/>
        <rFont val="Arial"/>
        <family val="2"/>
      </rPr>
      <t>+A</t>
    </r>
    <r>
      <rPr>
        <i/>
        <sz val="7"/>
        <rFont val="Arial"/>
        <family val="2"/>
      </rPr>
      <t>B</t>
    </r>
    <r>
      <rPr>
        <i/>
        <sz val="8"/>
        <rFont val="Arial"/>
        <family val="2"/>
      </rPr>
      <t>)f</t>
    </r>
    <r>
      <rPr>
        <i/>
        <sz val="7"/>
        <rFont val="Arial"/>
        <family val="2"/>
      </rPr>
      <t>B,A</t>
    </r>
  </si>
  <si>
    <r>
      <t>W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[MN]</t>
    </r>
  </si>
  <si>
    <t xml:space="preserve">Korak 5 </t>
  </si>
  <si>
    <t>GEOMETRIJA PRIRUBNICA</t>
  </si>
  <si>
    <r>
      <t xml:space="preserve">Spoljašnji prečnik prirubnice </t>
    </r>
    <r>
      <rPr>
        <i/>
        <sz val="9"/>
        <rFont val="Arial"/>
        <family val="2"/>
      </rPr>
      <t>A=C+2E</t>
    </r>
  </si>
  <si>
    <r>
      <t>A</t>
    </r>
    <r>
      <rPr>
        <i/>
        <vertAlign val="subscript"/>
        <sz val="10"/>
        <color indexed="8"/>
        <rFont val="Times New Roman"/>
        <family val="1"/>
      </rPr>
      <t>1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</si>
  <si>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B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</si>
  <si>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A</t>
    </r>
    <r>
      <rPr>
        <i/>
        <vertAlign val="subscript"/>
        <sz val="10"/>
        <color indexed="8"/>
        <rFont val="Times New Roman"/>
        <family val="1"/>
      </rPr>
      <t>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</si>
  <si>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rPr>
        <sz val="9"/>
        <rFont val="Arial"/>
        <family val="2"/>
      </rPr>
      <t>Krak sile</t>
    </r>
    <r>
      <rPr>
        <i/>
        <sz val="9"/>
        <rFont val="Arial"/>
        <family val="2"/>
      </rPr>
      <t xml:space="preserve"> H</t>
    </r>
    <r>
      <rPr>
        <i/>
        <sz val="7"/>
        <rFont val="Arial"/>
        <family val="2"/>
      </rPr>
      <t>D</t>
    </r>
    <r>
      <rPr>
        <i/>
        <sz val="9"/>
        <rFont val="Arial"/>
        <family val="2"/>
      </rPr>
      <t xml:space="preserve">   h</t>
    </r>
    <r>
      <rPr>
        <i/>
        <sz val="7"/>
        <rFont val="Arial"/>
        <family val="2"/>
      </rPr>
      <t>D</t>
    </r>
    <r>
      <rPr>
        <i/>
        <sz val="9"/>
        <rFont val="Arial"/>
        <family val="2"/>
      </rPr>
      <t>=(C-B-g</t>
    </r>
    <r>
      <rPr>
        <i/>
        <sz val="7"/>
        <rFont val="Arial"/>
        <family val="2"/>
      </rPr>
      <t>1</t>
    </r>
    <r>
      <rPr>
        <i/>
        <sz val="9"/>
        <rFont val="Arial"/>
        <family val="2"/>
      </rPr>
      <t>)/2</t>
    </r>
  </si>
  <si>
    <r>
      <rPr>
        <sz val="9"/>
        <rFont val="Arial"/>
        <family val="2"/>
      </rPr>
      <t>Krak sile</t>
    </r>
    <r>
      <rPr>
        <i/>
        <sz val="9"/>
        <rFont val="Arial"/>
        <family val="2"/>
      </rPr>
      <t xml:space="preserve"> H</t>
    </r>
    <r>
      <rPr>
        <i/>
        <sz val="7"/>
        <rFont val="Arial"/>
        <family val="2"/>
      </rPr>
      <t>G</t>
    </r>
    <r>
      <rPr>
        <i/>
        <sz val="9"/>
        <rFont val="Arial"/>
        <family val="2"/>
      </rPr>
      <t xml:space="preserve">   h</t>
    </r>
    <r>
      <rPr>
        <i/>
        <sz val="7"/>
        <rFont val="Arial"/>
        <family val="2"/>
      </rPr>
      <t>G</t>
    </r>
    <r>
      <rPr>
        <i/>
        <sz val="9"/>
        <rFont val="Arial"/>
        <family val="2"/>
      </rPr>
      <t>=(C-G</t>
    </r>
    <r>
      <rPr>
        <i/>
        <sz val="9"/>
        <rFont val="Arial"/>
        <family val="2"/>
      </rPr>
      <t>)/2</t>
    </r>
  </si>
  <si>
    <r>
      <rPr>
        <sz val="9"/>
        <rFont val="Arial"/>
        <family val="2"/>
      </rPr>
      <t>Krak sile</t>
    </r>
    <r>
      <rPr>
        <i/>
        <sz val="9"/>
        <rFont val="Arial"/>
        <family val="2"/>
      </rPr>
      <t xml:space="preserve"> H</t>
    </r>
    <r>
      <rPr>
        <i/>
        <sz val="7"/>
        <rFont val="Arial"/>
        <family val="2"/>
      </rPr>
      <t>T</t>
    </r>
    <r>
      <rPr>
        <i/>
        <sz val="9"/>
        <rFont val="Arial"/>
        <family val="2"/>
      </rPr>
      <t xml:space="preserve">   h</t>
    </r>
    <r>
      <rPr>
        <i/>
        <sz val="7"/>
        <rFont val="Arial"/>
        <family val="2"/>
      </rPr>
      <t>T</t>
    </r>
    <r>
      <rPr>
        <i/>
        <sz val="9"/>
        <rFont val="Arial"/>
        <family val="2"/>
      </rPr>
      <t>=(2C-B-G)/4</t>
    </r>
  </si>
  <si>
    <r>
      <t>Preporučena debljina prirubnice (</t>
    </r>
    <r>
      <rPr>
        <sz val="7"/>
        <rFont val="Arial"/>
        <family val="2"/>
      </rPr>
      <t>www,p3</t>
    </r>
    <r>
      <rPr>
        <sz val="9"/>
        <rFont val="Arial"/>
        <family val="2"/>
      </rPr>
      <t>)</t>
    </r>
  </si>
  <si>
    <t>Debljina prirubnice USVOJENO</t>
  </si>
  <si>
    <r>
      <t>t</t>
    </r>
    <r>
      <rPr>
        <i/>
        <vertAlign val="subscript"/>
        <sz val="10"/>
        <color indexed="12"/>
        <rFont val="Times New Roman"/>
        <family val="1"/>
      </rPr>
      <t>1</t>
    </r>
    <r>
      <rPr>
        <sz val="10"/>
        <color indexed="12"/>
        <rFont val="YU L Swiss"/>
        <family val="2"/>
      </rPr>
      <t xml:space="preserve"> </t>
    </r>
    <r>
      <rPr>
        <sz val="10"/>
        <color indexed="12"/>
        <rFont val="Arial"/>
        <family val="2"/>
      </rPr>
      <t>[m]</t>
    </r>
  </si>
  <si>
    <r>
      <t>t</t>
    </r>
    <r>
      <rPr>
        <i/>
        <vertAlign val="subscript"/>
        <sz val="10"/>
        <color indexed="12"/>
        <rFont val="Times New Roman"/>
        <family val="1"/>
      </rPr>
      <t>2</t>
    </r>
    <r>
      <rPr>
        <sz val="10"/>
        <color indexed="12"/>
        <rFont val="YU L Swiss"/>
        <family val="2"/>
      </rPr>
      <t xml:space="preserve"> </t>
    </r>
    <r>
      <rPr>
        <sz val="10"/>
        <color indexed="12"/>
        <rFont val="Arial"/>
        <family val="2"/>
      </rPr>
      <t>[m]</t>
    </r>
  </si>
  <si>
    <t xml:space="preserve">Korak 6 </t>
  </si>
  <si>
    <t>OTEREĆENJE I GRANICA OPTEREĆENJA SPOJA</t>
  </si>
  <si>
    <r>
      <t>h</t>
    </r>
    <r>
      <rPr>
        <i/>
        <vertAlign val="subscript"/>
        <sz val="10"/>
        <color indexed="8"/>
        <rFont val="Times New Roman"/>
        <family val="1"/>
      </rPr>
      <t>D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</si>
  <si>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h</t>
    </r>
    <r>
      <rPr>
        <i/>
        <vertAlign val="subscript"/>
        <sz val="10"/>
        <color indexed="8"/>
        <rFont val="Times New Roman"/>
        <family val="1"/>
      </rPr>
      <t>G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</si>
  <si>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h</t>
    </r>
    <r>
      <rPr>
        <i/>
        <vertAlign val="subscript"/>
        <sz val="10"/>
        <color indexed="8"/>
        <rFont val="Times New Roman"/>
        <family val="1"/>
      </rPr>
      <t>T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</si>
  <si>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M</t>
    </r>
    <r>
      <rPr>
        <i/>
        <vertAlign val="subscript"/>
        <sz val="9"/>
        <color indexed="8"/>
        <rFont val="Times New Roman"/>
        <family val="1"/>
      </rPr>
      <t>A1</t>
    </r>
    <r>
      <rPr>
        <sz val="9"/>
        <color indexed="8"/>
        <rFont val="Arial"/>
        <family val="2"/>
      </rPr>
      <t>[MNm]</t>
    </r>
  </si>
  <si>
    <r>
      <t>M</t>
    </r>
    <r>
      <rPr>
        <i/>
        <vertAlign val="subscript"/>
        <sz val="9"/>
        <color indexed="8"/>
        <rFont val="Times New Roman"/>
        <family val="1"/>
      </rPr>
      <t>A2</t>
    </r>
    <r>
      <rPr>
        <sz val="9"/>
        <color indexed="8"/>
        <rFont val="Arial"/>
        <family val="2"/>
      </rPr>
      <t>[MNm]</t>
    </r>
  </si>
  <si>
    <r>
      <t>M</t>
    </r>
    <r>
      <rPr>
        <i/>
        <vertAlign val="subscript"/>
        <sz val="9"/>
        <color indexed="8"/>
        <rFont val="Times New Roman"/>
        <family val="1"/>
      </rPr>
      <t>op1</t>
    </r>
    <r>
      <rPr>
        <sz val="9"/>
        <color indexed="8"/>
        <rFont val="Arial"/>
        <family val="2"/>
      </rPr>
      <t>[MNm]</t>
    </r>
  </si>
  <si>
    <r>
      <t>M</t>
    </r>
    <r>
      <rPr>
        <i/>
        <vertAlign val="subscript"/>
        <sz val="9"/>
        <color indexed="8"/>
        <rFont val="Times New Roman"/>
        <family val="1"/>
      </rPr>
      <t>op2</t>
    </r>
    <r>
      <rPr>
        <sz val="9"/>
        <color indexed="8"/>
        <rFont val="Arial"/>
        <family val="2"/>
      </rPr>
      <t>[MNm]</t>
    </r>
  </si>
  <si>
    <t>Proračunski faktori  -  LABAVE PRIRUBNICE</t>
  </si>
  <si>
    <r>
      <t>K</t>
    </r>
    <r>
      <rPr>
        <i/>
        <vertAlign val="subscript"/>
        <sz val="9"/>
        <color indexed="8"/>
        <rFont val="Times New Roman"/>
        <family val="1"/>
      </rPr>
      <t>1</t>
    </r>
    <r>
      <rPr>
        <sz val="9"/>
        <color indexed="8"/>
        <rFont val="Arial"/>
        <family val="2"/>
      </rPr>
      <t>[ - ]</t>
    </r>
  </si>
  <si>
    <r>
      <t>K</t>
    </r>
    <r>
      <rPr>
        <i/>
        <vertAlign val="subscript"/>
        <sz val="9"/>
        <color indexed="8"/>
        <rFont val="Times New Roman"/>
        <family val="1"/>
      </rPr>
      <t>2</t>
    </r>
    <r>
      <rPr>
        <sz val="9"/>
        <color indexed="8"/>
        <rFont val="Arial"/>
        <family val="2"/>
      </rPr>
      <t>[ - ]</t>
    </r>
  </si>
  <si>
    <r>
      <t>C</t>
    </r>
    <r>
      <rPr>
        <i/>
        <vertAlign val="subscript"/>
        <sz val="9"/>
        <color indexed="8"/>
        <rFont val="Times New Roman"/>
        <family val="1"/>
      </rPr>
      <t>F1</t>
    </r>
    <r>
      <rPr>
        <sz val="9"/>
        <color indexed="8"/>
        <rFont val="Arial"/>
        <family val="2"/>
      </rPr>
      <t>[ - ]</t>
    </r>
  </si>
  <si>
    <r>
      <t>C</t>
    </r>
    <r>
      <rPr>
        <i/>
        <vertAlign val="subscript"/>
        <sz val="9"/>
        <color indexed="8"/>
        <rFont val="Times New Roman"/>
        <family val="1"/>
      </rPr>
      <t>F2</t>
    </r>
    <r>
      <rPr>
        <sz val="9"/>
        <color indexed="8"/>
        <rFont val="Arial"/>
        <family val="2"/>
      </rPr>
      <t>[ - ]</t>
    </r>
  </si>
  <si>
    <r>
      <rPr>
        <i/>
        <sz val="9"/>
        <color indexed="8"/>
        <rFont val="Symbol"/>
        <family val="1"/>
        <charset val="2"/>
      </rPr>
      <t>b</t>
    </r>
    <r>
      <rPr>
        <i/>
        <vertAlign val="subscript"/>
        <sz val="9"/>
        <color indexed="8"/>
        <rFont val="Times New Roman"/>
        <family val="1"/>
      </rPr>
      <t>Y1</t>
    </r>
    <r>
      <rPr>
        <sz val="9"/>
        <color indexed="8"/>
        <rFont val="Arial"/>
        <family val="2"/>
      </rPr>
      <t>[ - ]</t>
    </r>
  </si>
  <si>
    <t>Naponsko stanje prirubnica</t>
  </si>
  <si>
    <r>
      <t>M</t>
    </r>
    <r>
      <rPr>
        <i/>
        <vertAlign val="subscript"/>
        <sz val="8"/>
        <color indexed="8"/>
        <rFont val="Times New Roman"/>
        <family val="1"/>
      </rPr>
      <t>1</t>
    </r>
    <r>
      <rPr>
        <sz val="8"/>
        <color indexed="8"/>
        <rFont val="Arial"/>
        <family val="2"/>
      </rPr>
      <t>[</t>
    </r>
    <r>
      <rPr>
        <sz val="7"/>
        <color indexed="8"/>
        <rFont val="Arial"/>
        <family val="2"/>
      </rPr>
      <t>MNm/m</t>
    </r>
    <r>
      <rPr>
        <sz val="8"/>
        <color indexed="8"/>
        <rFont val="Arial"/>
        <family val="2"/>
      </rPr>
      <t>]</t>
    </r>
  </si>
  <si>
    <r>
      <t>M</t>
    </r>
    <r>
      <rPr>
        <i/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Arial"/>
        <family val="2"/>
      </rPr>
      <t>[</t>
    </r>
    <r>
      <rPr>
        <sz val="7"/>
        <color indexed="8"/>
        <rFont val="Arial"/>
        <family val="2"/>
      </rPr>
      <t>MNm/m</t>
    </r>
    <r>
      <rPr>
        <sz val="8"/>
        <color indexed="8"/>
        <rFont val="Arial"/>
        <family val="2"/>
      </rPr>
      <t>]</t>
    </r>
  </si>
  <si>
    <t>Granično naponsko stanje prirubnica prema Tabeli 1 primera 3.3</t>
  </si>
  <si>
    <r>
      <rPr>
        <i/>
        <sz val="8"/>
        <color indexed="8"/>
        <rFont val="Symbol"/>
        <family val="1"/>
        <charset val="2"/>
      </rPr>
      <t>sq</t>
    </r>
    <r>
      <rPr>
        <i/>
        <vertAlign val="subscript"/>
        <sz val="8"/>
        <color indexed="8"/>
        <rFont val="Symbol"/>
        <family val="1"/>
        <charset val="2"/>
      </rPr>
      <t>1</t>
    </r>
    <r>
      <rPr>
        <sz val="8"/>
        <color indexed="8"/>
        <rFont val="Arial"/>
        <family val="2"/>
      </rPr>
      <t>[</t>
    </r>
    <r>
      <rPr>
        <sz val="7"/>
        <color indexed="8"/>
        <rFont val="Arial"/>
        <family val="2"/>
      </rPr>
      <t>MPa</t>
    </r>
    <r>
      <rPr>
        <sz val="8"/>
        <color indexed="8"/>
        <rFont val="Arial"/>
        <family val="2"/>
      </rPr>
      <t>]</t>
    </r>
  </si>
  <si>
    <r>
      <rPr>
        <i/>
        <sz val="11"/>
        <color indexed="8"/>
        <rFont val="Times New Roman"/>
        <family val="1"/>
      </rPr>
      <t>f</t>
    </r>
    <r>
      <rPr>
        <i/>
        <sz val="8"/>
        <color indexed="8"/>
        <rFont val="Times New Roman"/>
        <family val="1"/>
      </rPr>
      <t>d1</t>
    </r>
    <r>
      <rPr>
        <sz val="10"/>
        <color indexed="8"/>
        <rFont val="Arial"/>
        <family val="2"/>
      </rPr>
      <t>[MPa]</t>
    </r>
  </si>
  <si>
    <r>
      <rPr>
        <i/>
        <sz val="11"/>
        <color indexed="8"/>
        <rFont val="Times New Roman"/>
        <family val="1"/>
      </rPr>
      <t>f</t>
    </r>
    <r>
      <rPr>
        <i/>
        <sz val="8"/>
        <color indexed="8"/>
        <rFont val="Times New Roman"/>
        <family val="1"/>
      </rPr>
      <t>d2</t>
    </r>
    <r>
      <rPr>
        <sz val="10"/>
        <color indexed="8"/>
        <rFont val="Arial"/>
        <family val="2"/>
      </rPr>
      <t>[MPa]</t>
    </r>
  </si>
  <si>
    <r>
      <rPr>
        <i/>
        <sz val="11"/>
        <color indexed="8"/>
        <rFont val="Times New Roman"/>
        <family val="1"/>
      </rPr>
      <t>f</t>
    </r>
    <r>
      <rPr>
        <i/>
        <sz val="8"/>
        <color indexed="8"/>
        <rFont val="Times New Roman"/>
        <family val="1"/>
      </rPr>
      <t>test2</t>
    </r>
    <r>
      <rPr>
        <sz val="9"/>
        <color indexed="8"/>
        <rFont val="Arial"/>
        <family val="2"/>
      </rPr>
      <t>[MPa]</t>
    </r>
  </si>
  <si>
    <t>Korekcioni faktor prema prečniku omotača B</t>
  </si>
  <si>
    <r>
      <rPr>
        <i/>
        <sz val="11"/>
        <color indexed="8"/>
        <rFont val="Times New Roman"/>
        <family val="1"/>
      </rPr>
      <t>f</t>
    </r>
    <r>
      <rPr>
        <i/>
        <sz val="8"/>
        <color indexed="8"/>
        <rFont val="Times New Roman"/>
        <family val="1"/>
      </rPr>
      <t>test1</t>
    </r>
    <r>
      <rPr>
        <sz val="8"/>
        <color indexed="8"/>
        <rFont val="Arial"/>
        <family val="2"/>
      </rPr>
      <t>[MPa]</t>
    </r>
  </si>
  <si>
    <r>
      <t>k1</t>
    </r>
    <r>
      <rPr>
        <sz val="10"/>
        <color indexed="8"/>
        <rFont val="Arial"/>
        <family val="2"/>
      </rPr>
      <t>[ - ]</t>
    </r>
  </si>
  <si>
    <r>
      <t>k2</t>
    </r>
    <r>
      <rPr>
        <sz val="10"/>
        <color indexed="8"/>
        <rFont val="Arial"/>
        <family val="2"/>
      </rPr>
      <t>[ - ]</t>
    </r>
  </si>
  <si>
    <r>
      <t xml:space="preserve">Ispunjenost uslova </t>
    </r>
    <r>
      <rPr>
        <sz val="9"/>
        <rFont val="Arial"/>
        <family val="2"/>
      </rPr>
      <t>- radno stanje</t>
    </r>
  </si>
  <si>
    <t>Ispunjenost uslova - ispitno-ugradno stanje</t>
  </si>
  <si>
    <t>IZBOR VIJAKA I PRORAČUN SILA PRIRUBNIČKOG SKLOPA</t>
  </si>
  <si>
    <t>Kompletne mere prema (3.43)</t>
  </si>
  <si>
    <t>Sile u prirubničkom sklopu  (3.42)</t>
  </si>
  <si>
    <r>
      <t xml:space="preserve">Faktor odnosa prečnika prirubn. </t>
    </r>
    <r>
      <rPr>
        <i/>
        <sz val="9"/>
        <rFont val="Arial"/>
        <family val="2"/>
      </rPr>
      <t>K=A/B</t>
    </r>
    <r>
      <rPr>
        <sz val="9"/>
        <rFont val="Arial"/>
        <family val="2"/>
      </rPr>
      <t xml:space="preserve"> (3.49)</t>
    </r>
  </si>
  <si>
    <t>Faktor korekcije koraka vijka  (3.47)</t>
  </si>
  <si>
    <r>
      <t xml:space="preserve">Proračunski faktor   </t>
    </r>
    <r>
      <rPr>
        <i/>
        <sz val="9"/>
        <rFont val="Symbol"/>
        <family val="1"/>
        <charset val="2"/>
      </rPr>
      <t>b</t>
    </r>
    <r>
      <rPr>
        <i/>
        <sz val="7"/>
        <rFont val="Arial"/>
        <family val="2"/>
      </rPr>
      <t>Y</t>
    </r>
    <r>
      <rPr>
        <sz val="9"/>
        <rFont val="Arial"/>
        <family val="2"/>
      </rPr>
      <t xml:space="preserve"> (3.49)</t>
    </r>
  </si>
  <si>
    <r>
      <t xml:space="preserve">Dozvoljeni  napon prirubn. </t>
    </r>
    <r>
      <rPr>
        <sz val="9"/>
        <rFont val="Symbol"/>
        <family val="1"/>
        <charset val="2"/>
      </rPr>
      <t xml:space="preserve"> </t>
    </r>
    <r>
      <rPr>
        <i/>
        <sz val="9"/>
        <rFont val="Times New Roman"/>
        <family val="1"/>
      </rPr>
      <t>f</t>
    </r>
    <r>
      <rPr>
        <i/>
        <sz val="7"/>
        <rFont val="Times New Roman"/>
        <family val="1"/>
      </rPr>
      <t>d</t>
    </r>
    <r>
      <rPr>
        <sz val="9"/>
        <rFont val="Arial"/>
        <family val="2"/>
      </rPr>
      <t xml:space="preserve"> - radno stanje</t>
    </r>
  </si>
  <si>
    <r>
      <t xml:space="preserve">Dozvoljeni  napon prirubn. </t>
    </r>
    <r>
      <rPr>
        <sz val="9"/>
        <rFont val="Symbol"/>
        <family val="1"/>
        <charset val="2"/>
      </rPr>
      <t xml:space="preserve"> </t>
    </r>
    <r>
      <rPr>
        <i/>
        <sz val="9"/>
        <rFont val="Times New Roman"/>
        <family val="1"/>
      </rPr>
      <t>f</t>
    </r>
    <r>
      <rPr>
        <i/>
        <sz val="7"/>
        <rFont val="Times New Roman"/>
        <family val="1"/>
      </rPr>
      <t>test</t>
    </r>
    <r>
      <rPr>
        <sz val="9"/>
        <rFont val="Arial"/>
        <family val="2"/>
      </rPr>
      <t xml:space="preserve"> - ispitno stanje</t>
    </r>
  </si>
  <si>
    <t>Ispunjenost uslova odnosa napona (3.50)</t>
  </si>
  <si>
    <t>K1.1</t>
  </si>
  <si>
    <t>K1.2</t>
  </si>
  <si>
    <t>K2.1</t>
  </si>
  <si>
    <t>K2.2</t>
  </si>
  <si>
    <t>K2.3</t>
  </si>
  <si>
    <t>K3.1</t>
  </si>
  <si>
    <t>K3.2</t>
  </si>
  <si>
    <t>K3.3</t>
  </si>
  <si>
    <t>K3.4</t>
  </si>
  <si>
    <t>K3.5</t>
  </si>
  <si>
    <t>K3.6</t>
  </si>
  <si>
    <t>K3.7</t>
  </si>
  <si>
    <t>K3.8</t>
  </si>
  <si>
    <t>K4.1</t>
  </si>
  <si>
    <t>K4.2</t>
  </si>
  <si>
    <t>K4.3</t>
  </si>
  <si>
    <t>K4.4</t>
  </si>
  <si>
    <t>K4.5</t>
  </si>
  <si>
    <t>K4.6</t>
  </si>
  <si>
    <t>K4.7</t>
  </si>
  <si>
    <t>K4.8</t>
  </si>
  <si>
    <t>K4.9</t>
  </si>
  <si>
    <t>K4.10</t>
  </si>
  <si>
    <t>K4.11</t>
  </si>
  <si>
    <t>K4.12</t>
  </si>
  <si>
    <t>K4.13</t>
  </si>
  <si>
    <t>K4.14</t>
  </si>
  <si>
    <t>K4.15</t>
  </si>
  <si>
    <t>K4.16</t>
  </si>
  <si>
    <t>K4.17</t>
  </si>
  <si>
    <t>K4.18</t>
  </si>
  <si>
    <t>K4.19</t>
  </si>
  <si>
    <t>K4.20</t>
  </si>
  <si>
    <t>K4.21</t>
  </si>
  <si>
    <t>K4.22</t>
  </si>
  <si>
    <t>K4.23</t>
  </si>
  <si>
    <t>K4.24</t>
  </si>
  <si>
    <t>K4.25</t>
  </si>
  <si>
    <t>K4.26</t>
  </si>
  <si>
    <t>K4.27</t>
  </si>
  <si>
    <t>K4.28</t>
  </si>
  <si>
    <t>K4.29</t>
  </si>
  <si>
    <t>K4.30</t>
  </si>
  <si>
    <t>K4.31</t>
  </si>
  <si>
    <t>K4.32</t>
  </si>
  <si>
    <t>K4.33</t>
  </si>
  <si>
    <t>K4.34</t>
  </si>
  <si>
    <t>K4.35</t>
  </si>
  <si>
    <t>K4.36</t>
  </si>
  <si>
    <t>K4.37</t>
  </si>
  <si>
    <t>K4.38</t>
  </si>
  <si>
    <t>K5.1</t>
  </si>
  <si>
    <t>K5.2</t>
  </si>
  <si>
    <t>K5.3</t>
  </si>
  <si>
    <t>K5.4</t>
  </si>
  <si>
    <t>K5.5</t>
  </si>
  <si>
    <t>K5.6</t>
  </si>
  <si>
    <t>K5.7</t>
  </si>
  <si>
    <t>K6.1</t>
  </si>
  <si>
    <t>K6.2</t>
  </si>
  <si>
    <t>K6.3</t>
  </si>
  <si>
    <t>K6.4</t>
  </si>
  <si>
    <t>K6.5</t>
  </si>
  <si>
    <t>K6.6</t>
  </si>
  <si>
    <t>K6.7</t>
  </si>
  <si>
    <t>K6.8</t>
  </si>
  <si>
    <t>K6.9</t>
  </si>
  <si>
    <t>K6.10</t>
  </si>
  <si>
    <t>K6.11</t>
  </si>
  <si>
    <t>K6.12</t>
  </si>
  <si>
    <t>K6.13</t>
  </si>
  <si>
    <t>K6.14</t>
  </si>
  <si>
    <t>Ukupni moment prirubn. za ugradno stanje (3.45)</t>
  </si>
  <si>
    <t>Ukupni moment prirubnice za radno stanje (3.45)</t>
  </si>
  <si>
    <t>Moment prirubn. po jedinici dužine - ugradno (3.46)</t>
  </si>
  <si>
    <t>Moment prirubnice po jedinici dužine - radno (3.46)</t>
  </si>
  <si>
    <r>
      <t xml:space="preserve">Tangencijal. napon prirubnice </t>
    </r>
    <r>
      <rPr>
        <i/>
        <sz val="11"/>
        <rFont val="Symbol"/>
        <family val="1"/>
        <charset val="2"/>
      </rPr>
      <t>s</t>
    </r>
    <r>
      <rPr>
        <i/>
        <sz val="9"/>
        <rFont val="Symbol"/>
        <family val="1"/>
        <charset val="2"/>
      </rPr>
      <t>q</t>
    </r>
    <r>
      <rPr>
        <sz val="9"/>
        <rFont val="Arial"/>
        <family val="2"/>
      </rPr>
      <t xml:space="preserve"> - ugradno (3.48)</t>
    </r>
  </si>
  <si>
    <r>
      <t xml:space="preserve">Tangencijalni napon prirubnice </t>
    </r>
    <r>
      <rPr>
        <i/>
        <sz val="11"/>
        <rFont val="Symbol"/>
        <family val="1"/>
        <charset val="2"/>
      </rPr>
      <t>s</t>
    </r>
    <r>
      <rPr>
        <i/>
        <sz val="9"/>
        <rFont val="Symbol"/>
        <family val="1"/>
        <charset val="2"/>
      </rPr>
      <t>q</t>
    </r>
    <r>
      <rPr>
        <sz val="9"/>
        <rFont val="Arial"/>
        <family val="2"/>
      </rPr>
      <t xml:space="preserve"> - radno   (3.48)</t>
    </r>
  </si>
  <si>
    <t>START</t>
  </si>
  <si>
    <t>Iteracija</t>
  </si>
  <si>
    <t>Slika 3.35. Uslov labavog spoja (podtačka 2b)</t>
  </si>
  <si>
    <r>
      <t>t</t>
    </r>
    <r>
      <rPr>
        <sz val="7"/>
        <color indexed="8"/>
        <rFont val="Arial"/>
        <family val="2"/>
      </rPr>
      <t>manje</t>
    </r>
    <r>
      <rPr>
        <sz val="10"/>
        <color indexed="8"/>
        <rFont val="Arial"/>
        <family val="2"/>
      </rPr>
      <t xml:space="preserve"> 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</si>
  <si>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r>
      <t>t</t>
    </r>
    <r>
      <rPr>
        <sz val="7"/>
        <color indexed="8"/>
        <rFont val="Arial"/>
        <family val="2"/>
      </rPr>
      <t>veće</t>
    </r>
    <r>
      <rPr>
        <sz val="10"/>
        <color indexed="8"/>
        <rFont val="Arial"/>
        <family val="2"/>
      </rPr>
      <t xml:space="preserve"> 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</si>
  <si>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r>
      <t>t</t>
    </r>
    <r>
      <rPr>
        <sz val="7"/>
        <color indexed="8"/>
        <rFont val="Arial"/>
        <family val="2"/>
      </rPr>
      <t>pror</t>
    </r>
    <r>
      <rPr>
        <sz val="10"/>
        <color indexed="8"/>
        <rFont val="Arial"/>
        <family val="2"/>
      </rPr>
      <t xml:space="preserve"> [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C]</t>
    </r>
  </si>
  <si>
    <t>Start</t>
  </si>
  <si>
    <t>Prečnik pod. kruga prema zapt. C=B+dL+2(b01+h)</t>
  </si>
  <si>
    <t>Usvojeni prečnik podeonog kruga (veće od C1)</t>
  </si>
  <si>
    <r>
      <t>d</t>
    </r>
    <r>
      <rPr>
        <i/>
        <vertAlign val="subscript"/>
        <sz val="10"/>
        <color indexed="8"/>
        <rFont val="Times New Roman"/>
        <family val="1"/>
      </rPr>
      <t>go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</si>
  <si>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 xml:space="preserve">Spoljnji i unutrašnji prečnik zapt. </t>
    </r>
    <r>
      <rPr>
        <i/>
        <sz val="9"/>
        <rFont val="Arial"/>
        <family val="2"/>
      </rPr>
      <t>d</t>
    </r>
    <r>
      <rPr>
        <i/>
        <sz val="7"/>
        <rFont val="Arial"/>
        <family val="2"/>
      </rPr>
      <t>go</t>
    </r>
    <r>
      <rPr>
        <i/>
        <sz val="9"/>
        <rFont val="Arial"/>
        <family val="2"/>
      </rPr>
      <t>=C-d</t>
    </r>
    <r>
      <rPr>
        <i/>
        <sz val="7"/>
        <rFont val="Arial"/>
        <family val="2"/>
      </rPr>
      <t>L</t>
    </r>
    <r>
      <rPr>
        <i/>
        <sz val="9"/>
        <rFont val="Arial"/>
        <family val="2"/>
      </rPr>
      <t>-2</t>
    </r>
    <r>
      <rPr>
        <i/>
        <sz val="9"/>
        <rFont val="Symbol"/>
        <family val="1"/>
        <charset val="2"/>
      </rPr>
      <t>d</t>
    </r>
    <r>
      <rPr>
        <i/>
        <sz val="7"/>
        <rFont val="Arial"/>
        <family val="2"/>
      </rPr>
      <t>G</t>
    </r>
  </si>
  <si>
    <r>
      <t>d</t>
    </r>
    <r>
      <rPr>
        <i/>
        <vertAlign val="subscript"/>
        <sz val="10"/>
        <color indexed="8"/>
        <rFont val="Times New Roman"/>
        <family val="1"/>
      </rPr>
      <t>gi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[m]</t>
    </r>
  </si>
  <si>
    <r>
      <t>P</t>
    </r>
    <r>
      <rPr>
        <i/>
        <vertAlign val="subscript"/>
        <sz val="10"/>
        <color indexed="8"/>
        <rFont val="Times New Roman"/>
        <family val="1"/>
      </rPr>
      <t>d2</t>
    </r>
    <r>
      <rPr>
        <sz val="10"/>
        <color indexed="8"/>
        <rFont val="YU L Swiss"/>
        <family val="2"/>
      </rPr>
      <t xml:space="preserve"> </t>
    </r>
    <r>
      <rPr>
        <sz val="10"/>
        <color indexed="8"/>
        <rFont val="Arial"/>
        <family val="2"/>
      </rPr>
      <t>[MPa]</t>
    </r>
  </si>
  <si>
    <t>Proračunski pritisak prirubnice</t>
  </si>
  <si>
    <t xml:space="preserve">Proračunska  temperatura prirubnice </t>
  </si>
  <si>
    <t>Mora biti deljiv sa 4</t>
  </si>
  <si>
    <r>
      <rPr>
        <i/>
        <sz val="9"/>
        <color indexed="8"/>
        <rFont val="Symbol"/>
        <family val="1"/>
        <charset val="2"/>
      </rPr>
      <t>b</t>
    </r>
    <r>
      <rPr>
        <i/>
        <vertAlign val="subscript"/>
        <sz val="9"/>
        <color indexed="8"/>
        <rFont val="Times New Roman"/>
        <family val="1"/>
      </rPr>
      <t>Y2</t>
    </r>
    <r>
      <rPr>
        <sz val="9"/>
        <color indexed="8"/>
        <rFont val="Arial"/>
        <family val="2"/>
      </rPr>
      <t>[ - ]</t>
    </r>
  </si>
  <si>
    <r>
      <rPr>
        <i/>
        <sz val="8"/>
        <color indexed="8"/>
        <rFont val="Symbol"/>
        <family val="1"/>
        <charset val="2"/>
      </rPr>
      <t>sq</t>
    </r>
    <r>
      <rPr>
        <i/>
        <vertAlign val="subscript"/>
        <sz val="8"/>
        <color indexed="8"/>
        <rFont val="Symbol"/>
        <family val="1"/>
        <charset val="2"/>
      </rPr>
      <t>2</t>
    </r>
    <r>
      <rPr>
        <sz val="8"/>
        <color indexed="8"/>
        <rFont val="Arial"/>
        <family val="2"/>
      </rPr>
      <t>[</t>
    </r>
    <r>
      <rPr>
        <sz val="7"/>
        <color indexed="8"/>
        <rFont val="Arial"/>
        <family val="2"/>
      </rPr>
      <t>MPa</t>
    </r>
    <r>
      <rPr>
        <sz val="8"/>
        <color indexed="8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</si>
</sst>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 x14ac:knownFonts="1">
    <font>
      <sz val="10"/>
      <name val="Arial"/>
    </font>
    <font>
      <sz val="10"/>
      <color indexed="8"/>
      <name val="Arial"/>
      <family val="2"/>
    </font>
    <font>
      <i/>
      <sz val="11"/>
      <name val="Times New Roman"/>
      <family val="1"/>
    </font>
    <font>
      <sz val="11"/>
      <name val="Times New Roman"/>
      <family val="1"/>
    </font>
    <font>
      <sz val="8"/>
      <color indexed="21"/>
      <name val="Times New Roman"/>
      <family val="1"/>
    </font>
    <font>
      <sz val="11"/>
      <color indexed="14"/>
      <name val="Times New Roman"/>
      <family val="1"/>
    </font>
    <font>
      <b/>
      <sz val="11"/>
      <color indexed="33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name val="YU L Swiss"/>
      <family val="2"/>
    </font>
    <font>
      <sz val="10"/>
      <name val="YU L Swiss"/>
      <family val="2"/>
    </font>
    <font>
      <vertAlign val="superscript"/>
      <sz val="10"/>
      <color indexed="8"/>
      <name val="Arial"/>
      <family val="2"/>
    </font>
    <font>
      <b/>
      <sz val="9"/>
      <color indexed="12"/>
      <name val="Arial"/>
      <family val="2"/>
    </font>
    <font>
      <sz val="10"/>
      <color indexed="12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0"/>
      <name val="Calibri"/>
      <family val="2"/>
    </font>
    <font>
      <sz val="9"/>
      <name val="Arial"/>
      <family val="2"/>
    </font>
    <font>
      <i/>
      <vertAlign val="subscript"/>
      <sz val="10"/>
      <color indexed="8"/>
      <name val="Times New Roman"/>
      <family val="1"/>
    </font>
    <font>
      <sz val="10"/>
      <color indexed="8"/>
      <name val="YU L Swiss"/>
      <family val="2"/>
    </font>
    <font>
      <sz val="10"/>
      <name val="Arial"/>
      <family val="2"/>
    </font>
    <font>
      <i/>
      <sz val="9"/>
      <name val="Symbol"/>
      <family val="1"/>
      <charset val="2"/>
    </font>
    <font>
      <i/>
      <sz val="7"/>
      <name val="Arial"/>
      <family val="2"/>
    </font>
    <font>
      <i/>
      <sz val="9"/>
      <name val="Arial"/>
      <family val="2"/>
    </font>
    <font>
      <i/>
      <sz val="10"/>
      <color indexed="8"/>
      <name val="Times New Roman"/>
      <family val="1"/>
    </font>
    <font>
      <sz val="7"/>
      <name val="Arial"/>
      <family val="2"/>
    </font>
    <font>
      <i/>
      <sz val="10"/>
      <color indexed="8"/>
      <name val="Symbol"/>
      <family val="1"/>
      <charset val="2"/>
    </font>
    <font>
      <i/>
      <sz val="9"/>
      <color indexed="8"/>
      <name val="Symbol"/>
      <family val="1"/>
      <charset val="2"/>
    </font>
    <font>
      <i/>
      <sz val="8"/>
      <color indexed="8"/>
      <name val="Symbol"/>
      <family val="1"/>
      <charset val="2"/>
    </font>
    <font>
      <i/>
      <sz val="8"/>
      <color indexed="8"/>
      <name val="Times New Roman"/>
      <family val="1"/>
    </font>
    <font>
      <i/>
      <sz val="11"/>
      <color indexed="8"/>
      <name val="Times New Roman"/>
      <family val="1"/>
    </font>
    <font>
      <i/>
      <vertAlign val="superscript"/>
      <sz val="9"/>
      <name val="Arial"/>
      <family val="2"/>
    </font>
    <font>
      <i/>
      <vertAlign val="subscript"/>
      <sz val="8"/>
      <color indexed="8"/>
      <name val="Times New Roman"/>
      <family val="1"/>
    </font>
    <font>
      <sz val="8"/>
      <color indexed="8"/>
      <name val="YU L Swiss"/>
      <family val="2"/>
    </font>
    <font>
      <sz val="8"/>
      <color indexed="8"/>
      <name val="Arial"/>
      <family val="2"/>
    </font>
    <font>
      <i/>
      <vertAlign val="subscript"/>
      <sz val="9"/>
      <color indexed="8"/>
      <name val="Times New Roman"/>
      <family val="1"/>
    </font>
    <font>
      <sz val="9"/>
      <color indexed="8"/>
      <name val="Arial"/>
      <family val="2"/>
    </font>
    <font>
      <i/>
      <sz val="8"/>
      <name val="Arial"/>
      <family val="2"/>
    </font>
    <font>
      <i/>
      <sz val="11"/>
      <name val="Calibri"/>
      <family val="2"/>
    </font>
    <font>
      <i/>
      <sz val="8"/>
      <name val="Times New Roman"/>
      <family val="1"/>
    </font>
    <font>
      <i/>
      <vertAlign val="subscript"/>
      <sz val="10"/>
      <color indexed="12"/>
      <name val="Times New Roman"/>
      <family val="1"/>
    </font>
    <font>
      <sz val="10"/>
      <color indexed="12"/>
      <name val="YU L Swiss"/>
      <family val="2"/>
    </font>
    <font>
      <i/>
      <sz val="7"/>
      <name val="Times New Roman"/>
      <family val="1"/>
    </font>
    <font>
      <sz val="9"/>
      <name val="Symbol"/>
      <family val="1"/>
      <charset val="2"/>
    </font>
    <font>
      <sz val="7"/>
      <color indexed="8"/>
      <name val="Arial"/>
      <family val="2"/>
    </font>
    <font>
      <i/>
      <sz val="11"/>
      <name val="Symbol"/>
      <family val="1"/>
      <charset val="2"/>
    </font>
    <font>
      <i/>
      <vertAlign val="subscript"/>
      <sz val="8"/>
      <color indexed="8"/>
      <name val="Symbol"/>
      <family val="1"/>
      <charset val="2"/>
    </font>
    <font>
      <i/>
      <sz val="10"/>
      <color indexed="8"/>
      <name val="Times New Roman"/>
      <family val="1"/>
    </font>
    <font>
      <b/>
      <sz val="10"/>
      <color indexed="12"/>
      <name val="Arial"/>
      <family val="2"/>
    </font>
    <font>
      <i/>
      <sz val="10"/>
      <color indexed="8"/>
      <name val="Symbol Tiger Expert"/>
      <family val="1"/>
      <charset val="2"/>
    </font>
    <font>
      <b/>
      <sz val="10"/>
      <color indexed="8"/>
      <name val="Arial"/>
      <family val="2"/>
    </font>
    <font>
      <b/>
      <sz val="12"/>
      <color indexed="12"/>
      <name val="Times New Roman"/>
      <family val="1"/>
    </font>
    <font>
      <b/>
      <sz val="11"/>
      <color indexed="21"/>
      <name val="Times New Roman"/>
      <family val="1"/>
    </font>
    <font>
      <sz val="11"/>
      <color indexed="12"/>
      <name val="Times New Roman"/>
      <family val="1"/>
    </font>
    <font>
      <b/>
      <sz val="10"/>
      <color indexed="8"/>
      <name val="Arial"/>
      <family val="2"/>
    </font>
    <font>
      <i/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sz val="11"/>
      <color indexed="62"/>
      <name val="Times New Roman"/>
      <family val="1"/>
    </font>
    <font>
      <i/>
      <sz val="10"/>
      <color indexed="12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12"/>
      <name val="Arial"/>
      <family val="2"/>
    </font>
    <font>
      <i/>
      <sz val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 applyAlignment="1" applyProtection="1">
      <alignment horizontal="right"/>
      <protection hidden="1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50" fillId="0" borderId="2" xfId="0" applyFont="1" applyBorder="1" applyAlignment="1">
      <alignment horizontal="right" vertical="center"/>
    </xf>
    <xf numFmtId="0" fontId="51" fillId="3" borderId="2" xfId="0" applyFont="1" applyFill="1" applyBorder="1" applyAlignment="1">
      <alignment horizontal="center" vertical="center"/>
    </xf>
    <xf numFmtId="0" fontId="50" fillId="0" borderId="3" xfId="0" applyFont="1" applyBorder="1" applyAlignment="1">
      <alignment horizontal="right" vertical="center"/>
    </xf>
    <xf numFmtId="0" fontId="51" fillId="3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52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53" fillId="3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53" fillId="3" borderId="2" xfId="0" applyFont="1" applyFill="1" applyBorder="1" applyAlignment="1">
      <alignment horizontal="center" vertical="center"/>
    </xf>
    <xf numFmtId="0" fontId="50" fillId="0" borderId="6" xfId="0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5" fillId="0" borderId="5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3" fillId="3" borderId="9" xfId="0" applyFont="1" applyFill="1" applyBorder="1" applyAlignment="1">
      <alignment horizontal="center" vertical="center"/>
    </xf>
    <xf numFmtId="0" fontId="50" fillId="0" borderId="0" xfId="0" applyFont="1" applyBorder="1" applyAlignment="1">
      <alignment horizontal="right" vertical="center"/>
    </xf>
    <xf numFmtId="0" fontId="50" fillId="0" borderId="9" xfId="0" applyFont="1" applyBorder="1" applyAlignment="1">
      <alignment horizontal="right" vertical="center"/>
    </xf>
    <xf numFmtId="49" fontId="51" fillId="3" borderId="3" xfId="0" applyNumberFormat="1" applyFont="1" applyFill="1" applyBorder="1" applyAlignment="1">
      <alignment horizontal="center" vertical="center"/>
    </xf>
    <xf numFmtId="0" fontId="57" fillId="3" borderId="9" xfId="0" applyFont="1" applyFill="1" applyBorder="1" applyAlignment="1">
      <alignment horizontal="center" vertical="center"/>
    </xf>
    <xf numFmtId="0" fontId="57" fillId="3" borderId="3" xfId="0" applyFont="1" applyFill="1" applyBorder="1" applyAlignment="1">
      <alignment horizontal="center" vertical="center"/>
    </xf>
    <xf numFmtId="0" fontId="51" fillId="3" borderId="9" xfId="0" applyFont="1" applyFill="1" applyBorder="1" applyAlignment="1">
      <alignment horizontal="center" vertical="center"/>
    </xf>
    <xf numFmtId="0" fontId="58" fillId="0" borderId="3" xfId="0" applyFont="1" applyBorder="1" applyAlignment="1">
      <alignment horizontal="right" vertical="center"/>
    </xf>
    <xf numFmtId="0" fontId="59" fillId="0" borderId="3" xfId="0" applyFont="1" applyBorder="1" applyAlignment="1">
      <alignment horizontal="right" vertical="center"/>
    </xf>
    <xf numFmtId="0" fontId="58" fillId="0" borderId="9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6" fillId="0" borderId="7" xfId="0" applyFont="1" applyBorder="1" applyAlignment="1">
      <alignment vertical="center"/>
    </xf>
    <xf numFmtId="0" fontId="60" fillId="0" borderId="0" xfId="0" applyFont="1" applyAlignment="1">
      <alignment horizontal="left"/>
    </xf>
    <xf numFmtId="0" fontId="61" fillId="0" borderId="2" xfId="0" applyFont="1" applyBorder="1" applyAlignment="1">
      <alignment horizontal="right" vertical="center"/>
    </xf>
    <xf numFmtId="0" fontId="59" fillId="0" borderId="9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2" fillId="3" borderId="9" xfId="0" applyFont="1" applyFill="1" applyBorder="1" applyAlignment="1">
      <alignment horizontal="center" vertical="center"/>
    </xf>
    <xf numFmtId="0" fontId="63" fillId="3" borderId="9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16" fontId="3" fillId="0" borderId="0" xfId="0" applyNumberFormat="1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51" fillId="4" borderId="3" xfId="0" applyFont="1" applyFill="1" applyBorder="1" applyAlignment="1">
      <alignment horizontal="center" vertical="center"/>
    </xf>
    <xf numFmtId="0" fontId="53" fillId="5" borderId="2" xfId="0" applyFont="1" applyFill="1" applyBorder="1" applyAlignment="1">
      <alignment horizontal="center" vertical="center"/>
    </xf>
    <xf numFmtId="0" fontId="53" fillId="5" borderId="3" xfId="0" applyFont="1" applyFill="1" applyBorder="1" applyAlignment="1">
      <alignment horizontal="center" vertical="center"/>
    </xf>
    <xf numFmtId="0" fontId="53" fillId="5" borderId="9" xfId="0" applyFont="1" applyFill="1" applyBorder="1" applyAlignment="1">
      <alignment horizontal="center" vertical="center"/>
    </xf>
    <xf numFmtId="0" fontId="62" fillId="5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56" fillId="0" borderId="4" xfId="0" applyFont="1" applyBorder="1" applyAlignment="1">
      <alignment vertical="center"/>
    </xf>
    <xf numFmtId="0" fontId="64" fillId="0" borderId="7" xfId="0" applyFont="1" applyBorder="1" applyAlignment="1">
      <alignment vertical="center"/>
    </xf>
    <xf numFmtId="0" fontId="64" fillId="0" borderId="4" xfId="0" applyFont="1" applyBorder="1" applyAlignment="1">
      <alignment vertical="center"/>
    </xf>
    <xf numFmtId="0" fontId="64" fillId="0" borderId="8" xfId="0" applyFont="1" applyBorder="1" applyAlignment="1">
      <alignment vertical="center"/>
    </xf>
    <xf numFmtId="0" fontId="1" fillId="0" borderId="13" xfId="0" applyFont="1" applyFill="1" applyBorder="1" applyAlignment="1" applyProtection="1">
      <alignment horizontal="center"/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center" vertical="center"/>
      <protection hidden="1"/>
    </xf>
    <xf numFmtId="0" fontId="13" fillId="2" borderId="17" xfId="0" applyFont="1" applyFill="1" applyBorder="1" applyAlignment="1" applyProtection="1">
      <alignment horizontal="center" vertical="center"/>
      <protection hidden="1"/>
    </xf>
    <xf numFmtId="0" fontId="13" fillId="2" borderId="18" xfId="0" applyFont="1" applyFill="1" applyBorder="1" applyAlignment="1" applyProtection="1">
      <alignment horizontal="center" vertical="center"/>
      <protection hidden="1"/>
    </xf>
    <xf numFmtId="0" fontId="13" fillId="2" borderId="19" xfId="0" applyFont="1" applyFill="1" applyBorder="1" applyAlignment="1" applyProtection="1">
      <alignment horizontal="center" vertical="center"/>
      <protection hidden="1"/>
    </xf>
    <xf numFmtId="0" fontId="15" fillId="7" borderId="20" xfId="0" applyFont="1" applyFill="1" applyBorder="1" applyAlignment="1" applyProtection="1">
      <alignment horizontal="center" vertical="center"/>
      <protection hidden="1"/>
    </xf>
    <xf numFmtId="0" fontId="14" fillId="0" borderId="9" xfId="0" applyFont="1" applyBorder="1" applyAlignment="1" applyProtection="1">
      <alignment horizontal="center"/>
      <protection hidden="1"/>
    </xf>
    <xf numFmtId="0" fontId="66" fillId="0" borderId="0" xfId="0" applyFont="1" applyAlignment="1">
      <alignment vertical="center"/>
    </xf>
    <xf numFmtId="0" fontId="66" fillId="0" borderId="5" xfId="0" applyFont="1" applyBorder="1" applyAlignment="1">
      <alignment vertical="center"/>
    </xf>
    <xf numFmtId="0" fontId="66" fillId="6" borderId="9" xfId="0" applyFont="1" applyFill="1" applyBorder="1" applyAlignment="1">
      <alignment horizontal="center" vertical="center"/>
    </xf>
    <xf numFmtId="0" fontId="66" fillId="0" borderId="9" xfId="0" applyFont="1" applyFill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7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3" fillId="6" borderId="9" xfId="0" applyFont="1" applyFill="1" applyBorder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16" fillId="0" borderId="9" xfId="0" applyFont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</cellXfs>
  <cellStyles count="2">
    <cellStyle name="Normalan" xfId="0" builtinId="0"/>
    <cellStyle name="Normalan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CCFF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7641" name="Line 15"/>
        <xdr:cNvSpPr>
          <a:spLocks noChangeShapeType="1"/>
        </xdr:cNvSpPr>
      </xdr:nvSpPr>
      <xdr:spPr bwMode="auto">
        <a:xfrm>
          <a:off x="6181725" y="35242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7642" name="Line 16"/>
        <xdr:cNvSpPr>
          <a:spLocks noChangeShapeType="1"/>
        </xdr:cNvSpPr>
      </xdr:nvSpPr>
      <xdr:spPr bwMode="auto">
        <a:xfrm>
          <a:off x="6181725" y="1000125"/>
          <a:ext cx="0" cy="0"/>
        </a:xfrm>
        <a:prstGeom prst="line">
          <a:avLst/>
        </a:prstGeom>
        <a:noFill/>
        <a:ln w="1714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371475</xdr:colOff>
      <xdr:row>5</xdr:row>
      <xdr:rowOff>114300</xdr:rowOff>
    </xdr:to>
    <xdr:pic>
      <xdr:nvPicPr>
        <xdr:cNvPr id="17643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84772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447675</xdr:colOff>
      <xdr:row>1</xdr:row>
      <xdr:rowOff>76200</xdr:rowOff>
    </xdr:from>
    <xdr:to>
      <xdr:col>12</xdr:col>
      <xdr:colOff>381000</xdr:colOff>
      <xdr:row>5</xdr:row>
      <xdr:rowOff>104775</xdr:rowOff>
    </xdr:to>
    <xdr:sp macro="" textlink="">
      <xdr:nvSpPr>
        <xdr:cNvPr id="17644" name="Text Box 293"/>
        <xdr:cNvSpPr txBox="1">
          <a:spLocks noChangeArrowheads="1"/>
        </xdr:cNvSpPr>
      </xdr:nvSpPr>
      <xdr:spPr bwMode="auto">
        <a:xfrm>
          <a:off x="2314575" y="266700"/>
          <a:ext cx="5448300" cy="676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PRORAČUN  ČVRSTOĆE</a:t>
          </a:r>
        </a:p>
        <a:p>
          <a:pPr algn="ctr" rtl="0">
            <a:defRPr sz="1000"/>
          </a:pPr>
          <a:r>
            <a:rPr lang="sr-Latn-R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PRIRUBNIČKOG SKLOPA prema EN 13445-2009</a:t>
          </a:r>
        </a:p>
      </xdr:txBody>
    </xdr:sp>
    <xdr:clientData/>
  </xdr:twoCellAnchor>
  <xdr:twoCellAnchor>
    <xdr:from>
      <xdr:col>1</xdr:col>
      <xdr:colOff>438150</xdr:colOff>
      <xdr:row>1</xdr:row>
      <xdr:rowOff>66675</xdr:rowOff>
    </xdr:from>
    <xdr:to>
      <xdr:col>3</xdr:col>
      <xdr:colOff>342900</xdr:colOff>
      <xdr:row>5</xdr:row>
      <xdr:rowOff>104775</xdr:rowOff>
    </xdr:to>
    <xdr:sp macro="" textlink="">
      <xdr:nvSpPr>
        <xdr:cNvPr id="17645" name="Text Box 294"/>
        <xdr:cNvSpPr txBox="1">
          <a:spLocks noChangeArrowheads="1"/>
        </xdr:cNvSpPr>
      </xdr:nvSpPr>
      <xdr:spPr bwMode="auto">
        <a:xfrm>
          <a:off x="990600" y="257175"/>
          <a:ext cx="1219200" cy="685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r-Latn-RS" sz="1000" b="0" i="0" u="none" strike="noStrike" baseline="0">
              <a:solidFill>
                <a:srgbClr val="0000FF"/>
              </a:solidFill>
              <a:latin typeface="Times New Roman"/>
              <a:cs typeface="Times New Roman"/>
            </a:rPr>
            <a:t>Rikalović Milan</a:t>
          </a:r>
        </a:p>
        <a:p>
          <a:pPr algn="l" rtl="0">
            <a:defRPr sz="1000"/>
          </a:pP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DRT knjiga I</a:t>
          </a:r>
        </a:p>
        <a:p>
          <a:pPr algn="l" rtl="0">
            <a:defRPr sz="1000"/>
          </a:pPr>
          <a:r>
            <a:rPr lang="sr-Latn-R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EPS -2022</a:t>
          </a:r>
          <a:r>
            <a:rPr lang="sr-Latn-RS" sz="1400" b="0" i="0" u="none" strike="noStrike" baseline="0">
              <a:solidFill>
                <a:srgbClr val="80008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250" name="Object 890" hidden="1">
              <a:extLst>
                <a:ext uri="{63B3BB69-23CF-44E3-9099-C40C66FF867C}">
                  <a14:compatExt spid="_x0000_s1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394" name="Object 1034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19" name="Object 1059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26" name="Object 1066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33" name="Object 1073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40" name="Object 1080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47" name="Object 1087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454" name="Object 1094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2" name="Object 1232" hidden="1">
              <a:extLst>
                <a:ext uri="{63B3BB69-23CF-44E3-9099-C40C66FF867C}">
                  <a14:compatExt spid="_x0000_s16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3" name="Object 1233" hidden="1">
              <a:extLst>
                <a:ext uri="{63B3BB69-23CF-44E3-9099-C40C66FF867C}">
                  <a14:compatExt spid="_x0000_s16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4" name="Object 1234" hidden="1">
              <a:extLst>
                <a:ext uri="{63B3BB69-23CF-44E3-9099-C40C66FF867C}">
                  <a14:compatExt spid="_x0000_s1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5" name="Object 1235" hidden="1">
              <a:extLst>
                <a:ext uri="{63B3BB69-23CF-44E3-9099-C40C66FF867C}">
                  <a14:compatExt spid="_x0000_s16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6" name="Object 1236" hidden="1">
              <a:extLst>
                <a:ext uri="{63B3BB69-23CF-44E3-9099-C40C66FF867C}">
                  <a14:compatExt spid="_x0000_s16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7" name="Object 1237" hidden="1">
              <a:extLst>
                <a:ext uri="{63B3BB69-23CF-44E3-9099-C40C66FF867C}">
                  <a14:compatExt spid="_x0000_s1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8" name="Object 1238" hidden="1">
              <a:extLst>
                <a:ext uri="{63B3BB69-23CF-44E3-9099-C40C66FF867C}">
                  <a14:compatExt spid="_x0000_s16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599" name="Object 1239" hidden="1">
              <a:extLst>
                <a:ext uri="{63B3BB69-23CF-44E3-9099-C40C66FF867C}">
                  <a14:compatExt spid="_x0000_s16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35" name="Object 1375" hidden="1">
              <a:extLst>
                <a:ext uri="{63B3BB69-23CF-44E3-9099-C40C66FF867C}">
                  <a14:compatExt spid="_x0000_s16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36" name="Object 1376" hidden="1">
              <a:extLst>
                <a:ext uri="{63B3BB69-23CF-44E3-9099-C40C66FF867C}">
                  <a14:compatExt spid="_x0000_s16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37" name="Object 1377" hidden="1">
              <a:extLst>
                <a:ext uri="{63B3BB69-23CF-44E3-9099-C40C66FF867C}">
                  <a14:compatExt spid="_x0000_s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38" name="Object 1378" hidden="1">
              <a:extLst>
                <a:ext uri="{63B3BB69-23CF-44E3-9099-C40C66FF867C}">
                  <a14:compatExt spid="_x0000_s16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39" name="Object 1379" hidden="1">
              <a:extLst>
                <a:ext uri="{63B3BB69-23CF-44E3-9099-C40C66FF867C}">
                  <a14:compatExt spid="_x0000_s16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0" name="Object 1380" hidden="1">
              <a:extLst>
                <a:ext uri="{63B3BB69-23CF-44E3-9099-C40C66FF867C}">
                  <a14:compatExt spid="_x0000_s16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1" name="Object 1381" hidden="1">
              <a:extLst>
                <a:ext uri="{63B3BB69-23CF-44E3-9099-C40C66FF867C}">
                  <a14:compatExt spid="_x0000_s16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2" name="Object 1382" hidden="1">
              <a:extLst>
                <a:ext uri="{63B3BB69-23CF-44E3-9099-C40C66FF867C}">
                  <a14:compatExt spid="_x0000_s16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3" name="Object 1383" hidden="1">
              <a:extLst>
                <a:ext uri="{63B3BB69-23CF-44E3-9099-C40C66FF867C}">
                  <a14:compatExt spid="_x0000_s16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4" name="Object 1384" hidden="1">
              <a:extLst>
                <a:ext uri="{63B3BB69-23CF-44E3-9099-C40C66FF867C}">
                  <a14:compatExt spid="_x0000_s16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5" name="Object 1385" hidden="1">
              <a:extLst>
                <a:ext uri="{63B3BB69-23CF-44E3-9099-C40C66FF867C}">
                  <a14:compatExt spid="_x0000_s16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6" name="Object 1386" hidden="1">
              <a:extLst>
                <a:ext uri="{63B3BB69-23CF-44E3-9099-C40C66FF867C}">
                  <a14:compatExt spid="_x0000_s16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7" name="Object 1387" hidden="1">
              <a:extLst>
                <a:ext uri="{63B3BB69-23CF-44E3-9099-C40C66FF867C}">
                  <a14:compatExt spid="_x0000_s16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8" name="Object 1388" hidden="1">
              <a:extLst>
                <a:ext uri="{63B3BB69-23CF-44E3-9099-C40C66FF867C}">
                  <a14:compatExt spid="_x0000_s16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49" name="Object 1389" hidden="1">
              <a:extLst>
                <a:ext uri="{63B3BB69-23CF-44E3-9099-C40C66FF867C}">
                  <a14:compatExt spid="_x0000_s16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180975</xdr:colOff>
          <xdr:row>96</xdr:row>
          <xdr:rowOff>180975</xdr:rowOff>
        </xdr:from>
        <xdr:to>
          <xdr:col>6</xdr:col>
          <xdr:colOff>200025</xdr:colOff>
          <xdr:row>98</xdr:row>
          <xdr:rowOff>9525</xdr:rowOff>
        </xdr:to>
        <xdr:sp macro="" textlink="">
          <xdr:nvSpPr>
            <xdr:cNvPr id="16750" name="Object 1390" hidden="1">
              <a:extLst>
                <a:ext uri="{63B3BB69-23CF-44E3-9099-C40C66FF867C}">
                  <a14:compatExt spid="_x0000_s16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29" Type="http://schemas.openxmlformats.org/officeDocument/2006/relationships/oleObject" Target="../embeddings/oleObject25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5" Type="http://schemas.openxmlformats.org/officeDocument/2006/relationships/image" Target="../media/image1.w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8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0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8.28515625" style="6" customWidth="1"/>
    <col min="2" max="5" width="9.85546875" style="6" customWidth="1"/>
    <col min="6" max="12" width="9" style="6" customWidth="1"/>
    <col min="13" max="13" width="9" style="10" customWidth="1"/>
    <col min="14" max="16384" width="9.140625" style="10"/>
  </cols>
  <sheetData>
    <row r="2" spans="1:13" s="1" customFormat="1" ht="12.75" customHeight="1" x14ac:dyDescent="0.25">
      <c r="M2" s="2"/>
    </row>
    <row r="3" spans="1:13" s="1" customFormat="1" ht="12.75" customHeight="1" x14ac:dyDescent="0.25">
      <c r="M3" s="3"/>
    </row>
    <row r="4" spans="1:13" s="1" customFormat="1" ht="12.75" customHeight="1" x14ac:dyDescent="0.25">
      <c r="M4" s="3"/>
    </row>
    <row r="5" spans="1:13" s="1" customFormat="1" ht="12.75" customHeight="1" x14ac:dyDescent="0.25">
      <c r="M5" s="3"/>
    </row>
    <row r="6" spans="1:13" s="1" customFormat="1" ht="12.75" customHeight="1" x14ac:dyDescent="0.25"/>
    <row r="7" spans="1:13" s="4" customFormat="1" ht="15.75" customHeight="1" x14ac:dyDescent="0.2"/>
    <row r="9" spans="1:13" ht="15.75" x14ac:dyDescent="0.25">
      <c r="B9" s="30" t="s">
        <v>2</v>
      </c>
      <c r="C9" s="30"/>
      <c r="D9" s="30"/>
      <c r="E9" s="30"/>
      <c r="F9" s="30"/>
      <c r="G9" s="30"/>
      <c r="H9" s="31" t="s">
        <v>3</v>
      </c>
      <c r="I9" s="31"/>
    </row>
    <row r="10" spans="1:13" ht="16.5" thickBot="1" x14ac:dyDescent="0.3">
      <c r="B10" s="30"/>
      <c r="C10" s="30"/>
      <c r="D10" s="30"/>
      <c r="E10" s="30"/>
      <c r="F10" s="30"/>
      <c r="G10" s="30"/>
      <c r="H10" s="31"/>
      <c r="I10" s="31"/>
    </row>
    <row r="11" spans="1:13" ht="15.75" thickBot="1" x14ac:dyDescent="0.3">
      <c r="B11" s="89" t="s">
        <v>4</v>
      </c>
      <c r="C11" s="90" t="s">
        <v>5</v>
      </c>
      <c r="D11" s="33"/>
      <c r="E11" s="33"/>
      <c r="F11" s="96" t="s">
        <v>10</v>
      </c>
      <c r="G11" s="91" t="s">
        <v>270</v>
      </c>
      <c r="H11" s="73" t="s">
        <v>271</v>
      </c>
      <c r="I11" s="74" t="s">
        <v>11</v>
      </c>
      <c r="J11" s="92" t="s">
        <v>270</v>
      </c>
      <c r="K11" s="75" t="s">
        <v>271</v>
      </c>
    </row>
    <row r="12" spans="1:13" ht="15.75" thickBot="1" x14ac:dyDescent="0.3">
      <c r="A12" s="63" t="s">
        <v>192</v>
      </c>
      <c r="B12" s="34" t="s">
        <v>283</v>
      </c>
      <c r="C12" s="35"/>
      <c r="D12" s="35"/>
      <c r="E12" s="36"/>
      <c r="F12" s="18" t="s">
        <v>108</v>
      </c>
      <c r="G12" s="19">
        <v>1.6</v>
      </c>
      <c r="H12" s="19">
        <v>1.6</v>
      </c>
      <c r="I12" s="20" t="s">
        <v>282</v>
      </c>
      <c r="J12" s="21">
        <v>1</v>
      </c>
      <c r="K12" s="21">
        <v>1</v>
      </c>
    </row>
    <row r="13" spans="1:13" ht="15.75" thickBot="1" x14ac:dyDescent="0.3">
      <c r="A13" s="63" t="s">
        <v>193</v>
      </c>
      <c r="B13" s="34" t="s">
        <v>284</v>
      </c>
      <c r="C13" s="35"/>
      <c r="D13" s="35"/>
      <c r="E13" s="36"/>
      <c r="F13" s="18" t="s">
        <v>6</v>
      </c>
      <c r="G13" s="19">
        <v>135</v>
      </c>
      <c r="H13" s="19">
        <v>135</v>
      </c>
      <c r="I13" s="20" t="s">
        <v>7</v>
      </c>
      <c r="J13" s="21">
        <v>110</v>
      </c>
      <c r="K13" s="21">
        <v>110</v>
      </c>
    </row>
    <row r="14" spans="1:13" ht="15.75" thickBot="1" x14ac:dyDescent="0.3">
      <c r="B14" s="89" t="s">
        <v>8</v>
      </c>
      <c r="C14" s="89" t="s">
        <v>9</v>
      </c>
      <c r="D14" s="16"/>
      <c r="E14" s="16"/>
      <c r="F14" s="37" t="s">
        <v>10</v>
      </c>
      <c r="G14" s="93" t="s">
        <v>270</v>
      </c>
      <c r="H14" s="71" t="s">
        <v>271</v>
      </c>
      <c r="I14" s="70" t="s">
        <v>11</v>
      </c>
      <c r="J14" s="93" t="s">
        <v>270</v>
      </c>
      <c r="K14" s="71" t="s">
        <v>271</v>
      </c>
    </row>
    <row r="15" spans="1:13" ht="15.75" thickBot="1" x14ac:dyDescent="0.3">
      <c r="A15" s="63" t="s">
        <v>194</v>
      </c>
      <c r="B15" s="34" t="s">
        <v>1</v>
      </c>
      <c r="C15" s="35"/>
      <c r="D15" s="35"/>
      <c r="E15" s="22"/>
      <c r="F15" s="20" t="s">
        <v>12</v>
      </c>
      <c r="G15" s="21">
        <v>0.8</v>
      </c>
      <c r="H15" s="21">
        <v>0.8</v>
      </c>
      <c r="I15" s="20" t="s">
        <v>13</v>
      </c>
      <c r="J15" s="21">
        <v>0.8</v>
      </c>
      <c r="K15" s="21">
        <v>0.8</v>
      </c>
    </row>
    <row r="16" spans="1:13" ht="15.75" thickBot="1" x14ac:dyDescent="0.3">
      <c r="A16" s="63" t="s">
        <v>195</v>
      </c>
      <c r="B16" s="34" t="s">
        <v>14</v>
      </c>
      <c r="C16" s="35"/>
      <c r="D16" s="35"/>
      <c r="E16" s="36"/>
      <c r="F16" s="23" t="s">
        <v>15</v>
      </c>
      <c r="G16" s="21">
        <v>8.0000000000000002E-3</v>
      </c>
      <c r="H16" s="21">
        <v>8.0000000000000002E-3</v>
      </c>
      <c r="I16" s="23" t="s">
        <v>16</v>
      </c>
      <c r="J16" s="21">
        <v>6.0000000000000001E-3</v>
      </c>
      <c r="K16" s="21">
        <v>6.0000000000000001E-3</v>
      </c>
    </row>
    <row r="17" spans="1:11" ht="15.75" thickBot="1" x14ac:dyDescent="0.3">
      <c r="A17" s="63" t="s">
        <v>196</v>
      </c>
      <c r="B17" s="34" t="s">
        <v>17</v>
      </c>
      <c r="C17" s="35"/>
      <c r="D17" s="35"/>
      <c r="E17" s="24"/>
      <c r="F17" s="20" t="s">
        <v>18</v>
      </c>
      <c r="G17" s="25">
        <f>G15-2*G16</f>
        <v>0.78400000000000003</v>
      </c>
      <c r="H17" s="25">
        <f>H15-2*H16</f>
        <v>0.78400000000000003</v>
      </c>
      <c r="I17" s="20" t="s">
        <v>19</v>
      </c>
      <c r="J17" s="25">
        <f>J15-2*J16</f>
        <v>0.78800000000000003</v>
      </c>
      <c r="K17" s="25">
        <f>K15-2*K16</f>
        <v>0.78800000000000003</v>
      </c>
    </row>
    <row r="18" spans="1:11" ht="15.75" thickBot="1" x14ac:dyDescent="0.3">
      <c r="B18" s="89" t="s">
        <v>20</v>
      </c>
      <c r="C18" s="89" t="s">
        <v>21</v>
      </c>
      <c r="D18" s="10"/>
      <c r="E18" s="17"/>
      <c r="F18" s="76" t="s">
        <v>23</v>
      </c>
      <c r="G18" s="76"/>
      <c r="I18" s="38" t="s">
        <v>23</v>
      </c>
      <c r="J18" s="38"/>
    </row>
    <row r="19" spans="1:11" ht="15.75" thickBot="1" x14ac:dyDescent="0.3">
      <c r="B19" s="4" t="s">
        <v>22</v>
      </c>
      <c r="C19" s="4"/>
      <c r="D19" s="4"/>
      <c r="E19" s="17"/>
      <c r="F19" s="72" t="s">
        <v>10</v>
      </c>
      <c r="G19" s="91" t="s">
        <v>270</v>
      </c>
      <c r="H19" s="73" t="s">
        <v>271</v>
      </c>
      <c r="I19" s="74" t="s">
        <v>11</v>
      </c>
      <c r="J19" s="92" t="s">
        <v>270</v>
      </c>
      <c r="K19" s="75" t="s">
        <v>271</v>
      </c>
    </row>
    <row r="20" spans="1:11" ht="15.75" thickBot="1" x14ac:dyDescent="0.3">
      <c r="A20" s="63" t="s">
        <v>197</v>
      </c>
      <c r="B20" s="34" t="s">
        <v>24</v>
      </c>
      <c r="C20" s="35"/>
      <c r="D20" s="26"/>
      <c r="E20" s="22"/>
      <c r="F20" s="20" t="s">
        <v>25</v>
      </c>
      <c r="G20" s="21">
        <v>2</v>
      </c>
      <c r="H20" s="21">
        <v>2</v>
      </c>
      <c r="I20" s="20" t="s">
        <v>26</v>
      </c>
      <c r="J20" s="21">
        <v>2</v>
      </c>
      <c r="K20" s="21">
        <v>2</v>
      </c>
    </row>
    <row r="21" spans="1:11" ht="15.75" thickBot="1" x14ac:dyDescent="0.3">
      <c r="A21" s="63" t="s">
        <v>198</v>
      </c>
      <c r="B21" s="34" t="s">
        <v>27</v>
      </c>
      <c r="C21" s="35"/>
      <c r="D21" s="35"/>
      <c r="E21" s="24"/>
      <c r="F21" s="20" t="s">
        <v>28</v>
      </c>
      <c r="G21" s="21">
        <v>24</v>
      </c>
      <c r="H21" s="21">
        <v>24</v>
      </c>
      <c r="I21" s="20" t="s">
        <v>29</v>
      </c>
      <c r="J21" s="21">
        <v>24</v>
      </c>
      <c r="K21" s="21">
        <v>24</v>
      </c>
    </row>
    <row r="22" spans="1:11" ht="15.75" thickBot="1" x14ac:dyDescent="0.3">
      <c r="A22" s="63" t="s">
        <v>199</v>
      </c>
      <c r="B22" s="34" t="s">
        <v>30</v>
      </c>
      <c r="C22" s="35"/>
      <c r="D22" s="27"/>
      <c r="E22" s="24"/>
      <c r="F22" s="20" t="s">
        <v>31</v>
      </c>
      <c r="G22" s="21">
        <v>4.0000000000000001E-3</v>
      </c>
      <c r="H22" s="21">
        <v>4.0000000000000001E-3</v>
      </c>
      <c r="I22" s="20" t="s">
        <v>32</v>
      </c>
      <c r="J22" s="21">
        <v>4.0000000000000001E-3</v>
      </c>
      <c r="K22" s="21">
        <v>4.0000000000000001E-3</v>
      </c>
    </row>
    <row r="23" spans="1:11" ht="15.75" thickBot="1" x14ac:dyDescent="0.3">
      <c r="A23" s="63" t="s">
        <v>200</v>
      </c>
      <c r="B23" s="34" t="s">
        <v>33</v>
      </c>
      <c r="C23" s="35"/>
      <c r="D23" s="35"/>
      <c r="E23" s="24"/>
      <c r="F23" s="20" t="s">
        <v>34</v>
      </c>
      <c r="G23" s="25">
        <f>(G15*1000)^(1/2)*(G12*10)^(1/3)/2-(G12*10)^(1/2)</f>
        <v>31.635948725613567</v>
      </c>
      <c r="H23" s="25">
        <f>(H15*1000)^(1/2)*(H12*10)^(1/3)/2-(H12*10)^(1/2)</f>
        <v>31.635948725613567</v>
      </c>
      <c r="I23" s="20" t="s">
        <v>35</v>
      </c>
      <c r="J23" s="25">
        <f>(J15*1000)^(1/2)*(J12*10)^(1/3)/2-(J12*10)^(1/2)</f>
        <v>27.306029918733277</v>
      </c>
      <c r="K23" s="25">
        <f>(K15*1000)^(1/2)*(K12*10)^(1/3)/2-(K12*10)^(1/2)</f>
        <v>27.306029918733277</v>
      </c>
    </row>
    <row r="24" spans="1:11" ht="15.75" thickBot="1" x14ac:dyDescent="0.3">
      <c r="A24" s="63" t="s">
        <v>201</v>
      </c>
      <c r="B24" s="34" t="s">
        <v>79</v>
      </c>
      <c r="C24" s="35"/>
      <c r="D24" s="35"/>
      <c r="E24" s="36"/>
      <c r="F24" s="20" t="s">
        <v>36</v>
      </c>
      <c r="G24" s="21">
        <v>25</v>
      </c>
      <c r="H24" s="21">
        <v>25</v>
      </c>
      <c r="I24" s="20" t="s">
        <v>37</v>
      </c>
      <c r="J24" s="21">
        <v>25</v>
      </c>
      <c r="K24" s="21">
        <v>25</v>
      </c>
    </row>
    <row r="25" spans="1:11" ht="15.75" thickBot="1" x14ac:dyDescent="0.3">
      <c r="A25" s="63" t="s">
        <v>202</v>
      </c>
      <c r="B25" s="34" t="s">
        <v>38</v>
      </c>
      <c r="C25" s="35"/>
      <c r="D25" s="35"/>
      <c r="E25" s="24"/>
      <c r="F25" s="20" t="s">
        <v>39</v>
      </c>
      <c r="G25" s="21">
        <v>0.03</v>
      </c>
      <c r="H25" s="21">
        <v>0.03</v>
      </c>
      <c r="I25" s="20" t="s">
        <v>40</v>
      </c>
      <c r="J25" s="21">
        <v>0.03</v>
      </c>
      <c r="K25" s="21">
        <v>0.03</v>
      </c>
    </row>
    <row r="26" spans="1:11" ht="15.75" thickBot="1" x14ac:dyDescent="0.3">
      <c r="A26" s="63" t="s">
        <v>203</v>
      </c>
      <c r="B26" s="34" t="s">
        <v>41</v>
      </c>
      <c r="C26" s="35"/>
      <c r="D26" s="35"/>
      <c r="E26" s="24"/>
      <c r="F26" s="20" t="s">
        <v>42</v>
      </c>
      <c r="G26" s="25">
        <f>2.52*(G25*1000)^(1/2)</f>
        <v>13.802608449130187</v>
      </c>
      <c r="H26" s="25">
        <f>2.52*(H25*1000)^(1/2)</f>
        <v>13.802608449130187</v>
      </c>
      <c r="I26" s="20" t="s">
        <v>43</v>
      </c>
      <c r="J26" s="25">
        <f>2.52*(J25*1000)^(1/2)</f>
        <v>13.802608449130187</v>
      </c>
      <c r="K26" s="25">
        <f>2.52*(K25*1000)^(1/2)</f>
        <v>13.802608449130187</v>
      </c>
    </row>
    <row r="27" spans="1:11" ht="15.75" thickBot="1" x14ac:dyDescent="0.3">
      <c r="A27" s="63" t="s">
        <v>204</v>
      </c>
      <c r="B27" s="34" t="s">
        <v>41</v>
      </c>
      <c r="C27" s="35"/>
      <c r="D27" s="35"/>
      <c r="E27" s="24"/>
      <c r="F27" s="20" t="s">
        <v>44</v>
      </c>
      <c r="G27" s="25">
        <f>ROUND(G26/1000,4)</f>
        <v>1.38E-2</v>
      </c>
      <c r="H27" s="25">
        <f>ROUND(H26/1000,4)</f>
        <v>1.38E-2</v>
      </c>
      <c r="I27" s="20" t="s">
        <v>45</v>
      </c>
      <c r="J27" s="25">
        <f>ROUND(J26/1000,4)</f>
        <v>1.38E-2</v>
      </c>
      <c r="K27" s="25">
        <f>ROUND(K26/1000,4)</f>
        <v>1.38E-2</v>
      </c>
    </row>
    <row r="28" spans="1:11" ht="15.75" thickBot="1" x14ac:dyDescent="0.3">
      <c r="B28" s="89" t="s">
        <v>46</v>
      </c>
      <c r="C28" s="89" t="s">
        <v>183</v>
      </c>
      <c r="D28" s="32"/>
      <c r="E28" s="17"/>
      <c r="F28" s="17"/>
      <c r="G28" s="17"/>
      <c r="H28" s="17"/>
      <c r="I28" s="17"/>
    </row>
    <row r="29" spans="1:11" ht="15.75" thickBot="1" x14ac:dyDescent="0.3">
      <c r="B29" s="39" t="s">
        <v>272</v>
      </c>
      <c r="C29" s="39"/>
      <c r="D29" s="39"/>
      <c r="E29" s="39"/>
      <c r="F29" s="72" t="s">
        <v>10</v>
      </c>
      <c r="G29" s="91" t="s">
        <v>270</v>
      </c>
      <c r="H29" s="73" t="s">
        <v>271</v>
      </c>
      <c r="I29" s="74" t="s">
        <v>11</v>
      </c>
      <c r="J29" s="92" t="s">
        <v>270</v>
      </c>
      <c r="K29" s="75" t="s">
        <v>271</v>
      </c>
    </row>
    <row r="30" spans="1:11" ht="15.75" thickBot="1" x14ac:dyDescent="0.3">
      <c r="A30" s="63" t="s">
        <v>205</v>
      </c>
      <c r="B30" s="34" t="s">
        <v>47</v>
      </c>
      <c r="C30" s="35"/>
      <c r="D30" s="35"/>
      <c r="E30" s="22"/>
      <c r="F30" s="18" t="s">
        <v>48</v>
      </c>
      <c r="G30" s="28">
        <f>G16</f>
        <v>8.0000000000000002E-3</v>
      </c>
      <c r="H30" s="28">
        <f>H16</f>
        <v>8.0000000000000002E-3</v>
      </c>
      <c r="I30" s="18" t="s">
        <v>49</v>
      </c>
      <c r="J30" s="28">
        <f>J16</f>
        <v>6.0000000000000001E-3</v>
      </c>
      <c r="K30" s="28">
        <f>K16</f>
        <v>6.0000000000000001E-3</v>
      </c>
    </row>
    <row r="31" spans="1:11" ht="15.75" thickBot="1" x14ac:dyDescent="0.3">
      <c r="A31" s="63" t="s">
        <v>206</v>
      </c>
      <c r="B31" s="34" t="s">
        <v>50</v>
      </c>
      <c r="C31" s="35"/>
      <c r="D31" s="35"/>
      <c r="E31" s="24"/>
      <c r="F31" s="20" t="s">
        <v>51</v>
      </c>
      <c r="G31" s="25">
        <f>G15</f>
        <v>0.8</v>
      </c>
      <c r="H31" s="25">
        <f>H15</f>
        <v>0.8</v>
      </c>
      <c r="I31" s="20" t="s">
        <v>145</v>
      </c>
      <c r="J31" s="25">
        <f>J15</f>
        <v>0.8</v>
      </c>
      <c r="K31" s="25">
        <f>K15</f>
        <v>0.8</v>
      </c>
    </row>
    <row r="32" spans="1:11" ht="15.75" thickBot="1" x14ac:dyDescent="0.3">
      <c r="A32" s="63" t="s">
        <v>207</v>
      </c>
      <c r="B32" s="34" t="s">
        <v>52</v>
      </c>
      <c r="C32" s="35"/>
      <c r="D32" s="27"/>
      <c r="E32" s="24"/>
      <c r="F32" s="20" t="s">
        <v>53</v>
      </c>
      <c r="G32" s="25">
        <f>G30</f>
        <v>8.0000000000000002E-3</v>
      </c>
      <c r="H32" s="25">
        <f>H30</f>
        <v>8.0000000000000002E-3</v>
      </c>
      <c r="I32" s="20" t="s">
        <v>54</v>
      </c>
      <c r="J32" s="25">
        <f>J30</f>
        <v>6.0000000000000001E-3</v>
      </c>
      <c r="K32" s="25">
        <f>K30</f>
        <v>6.0000000000000001E-3</v>
      </c>
    </row>
    <row r="33" spans="1:13" ht="15.75" thickBot="1" x14ac:dyDescent="0.3">
      <c r="A33" s="63" t="s">
        <v>208</v>
      </c>
      <c r="B33" s="34" t="s">
        <v>55</v>
      </c>
      <c r="C33" s="35"/>
      <c r="D33" s="27"/>
      <c r="E33" s="24"/>
      <c r="F33" s="20" t="s">
        <v>56</v>
      </c>
      <c r="G33" s="25">
        <f>ROUND(G32*2^(1/2),4)</f>
        <v>1.1299999999999999E-2</v>
      </c>
      <c r="H33" s="25">
        <f>ROUND(H32*2^(1/2),4)</f>
        <v>1.1299999999999999E-2</v>
      </c>
      <c r="I33" s="20" t="s">
        <v>57</v>
      </c>
      <c r="J33" s="25">
        <f>ROUND(J32*2^(1/2),4)</f>
        <v>8.5000000000000006E-3</v>
      </c>
      <c r="K33" s="25">
        <f>ROUND(K32*2^(1/2),4)</f>
        <v>8.5000000000000006E-3</v>
      </c>
    </row>
    <row r="34" spans="1:13" ht="15.75" thickBot="1" x14ac:dyDescent="0.3">
      <c r="A34" s="63" t="s">
        <v>209</v>
      </c>
      <c r="B34" s="34" t="s">
        <v>58</v>
      </c>
      <c r="C34" s="35"/>
      <c r="D34" s="35"/>
      <c r="E34" s="36"/>
      <c r="F34" s="20" t="s">
        <v>59</v>
      </c>
      <c r="G34" s="25">
        <f>G30+G33</f>
        <v>1.9299999999999998E-2</v>
      </c>
      <c r="H34" s="25">
        <f>H30+H33</f>
        <v>1.9299999999999998E-2</v>
      </c>
      <c r="I34" s="20" t="s">
        <v>60</v>
      </c>
      <c r="J34" s="25">
        <f>J30+J33</f>
        <v>1.4500000000000001E-2</v>
      </c>
      <c r="K34" s="25">
        <f>K30+K33</f>
        <v>1.4500000000000001E-2</v>
      </c>
    </row>
    <row r="35" spans="1:13" ht="15.75" thickBot="1" x14ac:dyDescent="0.3">
      <c r="A35" s="63" t="s">
        <v>210</v>
      </c>
      <c r="B35" s="34" t="s">
        <v>117</v>
      </c>
      <c r="C35" s="35"/>
      <c r="D35" s="35"/>
      <c r="E35" s="36"/>
      <c r="F35" s="29" t="s">
        <v>126</v>
      </c>
      <c r="G35" s="43" t="s">
        <v>118</v>
      </c>
      <c r="H35" s="43" t="s">
        <v>118</v>
      </c>
      <c r="J35" s="16"/>
    </row>
    <row r="36" spans="1:13" ht="15.75" thickBot="1" x14ac:dyDescent="0.3">
      <c r="A36" s="63" t="s">
        <v>211</v>
      </c>
      <c r="B36" s="34" t="s">
        <v>120</v>
      </c>
      <c r="C36" s="35"/>
      <c r="D36" s="35"/>
      <c r="E36" s="36"/>
      <c r="F36" s="16"/>
      <c r="G36" s="10"/>
      <c r="I36" s="42" t="s">
        <v>121</v>
      </c>
      <c r="J36" s="44">
        <f>IF((MAX(G13,J13)-15)&lt;50,50,MAX(G13,J13)-15)</f>
        <v>120</v>
      </c>
      <c r="K36" s="44">
        <f>IF((MAX(H13,K13)-15)&lt;50,50,MAX(H13,K13)-15)</f>
        <v>120</v>
      </c>
    </row>
    <row r="37" spans="1:13" ht="15.75" thickBot="1" x14ac:dyDescent="0.3">
      <c r="A37" s="63" t="s">
        <v>212</v>
      </c>
      <c r="B37" s="34" t="s">
        <v>122</v>
      </c>
      <c r="C37" s="35"/>
      <c r="D37" s="35"/>
      <c r="E37" s="35"/>
      <c r="F37" s="42" t="s">
        <v>123</v>
      </c>
      <c r="G37" s="46">
        <v>800</v>
      </c>
      <c r="H37" s="46">
        <v>800</v>
      </c>
      <c r="I37" s="47" t="s">
        <v>124</v>
      </c>
      <c r="J37" s="25">
        <f>K41</f>
        <v>580</v>
      </c>
      <c r="K37" s="25">
        <f>K44</f>
        <v>580</v>
      </c>
    </row>
    <row r="38" spans="1:13" ht="15.75" thickBot="1" x14ac:dyDescent="0.3">
      <c r="A38" s="63" t="s">
        <v>213</v>
      </c>
      <c r="B38" s="34" t="s">
        <v>70</v>
      </c>
      <c r="C38" s="35"/>
      <c r="D38" s="35"/>
      <c r="E38" s="35"/>
      <c r="F38" s="88" t="s">
        <v>125</v>
      </c>
      <c r="G38" s="21" t="s">
        <v>71</v>
      </c>
      <c r="H38" s="21" t="s">
        <v>71</v>
      </c>
      <c r="I38" s="13" t="s">
        <v>0</v>
      </c>
    </row>
    <row r="39" spans="1:13" ht="15.75" thickBot="1" x14ac:dyDescent="0.3">
      <c r="A39" s="63" t="s">
        <v>214</v>
      </c>
      <c r="B39" s="34" t="s">
        <v>72</v>
      </c>
      <c r="C39" s="35"/>
      <c r="D39" s="35"/>
      <c r="E39" s="24"/>
      <c r="F39" s="29" t="s">
        <v>73</v>
      </c>
      <c r="G39" s="21">
        <v>0.02</v>
      </c>
      <c r="H39" s="21">
        <v>0.02</v>
      </c>
      <c r="I39" s="80" t="s">
        <v>273</v>
      </c>
      <c r="J39" s="81" t="s">
        <v>274</v>
      </c>
      <c r="K39" s="82" t="s">
        <v>275</v>
      </c>
    </row>
    <row r="40" spans="1:13" ht="15.75" thickBot="1" x14ac:dyDescent="0.3">
      <c r="A40" s="63" t="s">
        <v>215</v>
      </c>
      <c r="B40" s="34" t="s">
        <v>90</v>
      </c>
      <c r="C40" s="35"/>
      <c r="D40" s="35"/>
      <c r="E40" s="24"/>
      <c r="F40" s="29" t="s">
        <v>89</v>
      </c>
      <c r="G40" s="21">
        <v>2.4E-2</v>
      </c>
      <c r="H40" s="21">
        <v>2.4E-2</v>
      </c>
      <c r="I40" s="83">
        <v>100</v>
      </c>
      <c r="J40" s="14">
        <v>200</v>
      </c>
      <c r="K40" s="84">
        <v>120</v>
      </c>
    </row>
    <row r="41" spans="1:13" ht="15.75" thickBot="1" x14ac:dyDescent="0.3">
      <c r="A41" s="63" t="s">
        <v>216</v>
      </c>
      <c r="B41" s="34" t="s">
        <v>105</v>
      </c>
      <c r="C41" s="35"/>
      <c r="D41" s="35"/>
      <c r="E41" s="24"/>
      <c r="F41" s="29" t="s">
        <v>106</v>
      </c>
      <c r="G41" s="21">
        <v>2.4499999999999999E-4</v>
      </c>
      <c r="H41" s="21">
        <v>2.4499999999999999E-4</v>
      </c>
      <c r="I41" s="85">
        <v>590</v>
      </c>
      <c r="J41" s="86">
        <v>540</v>
      </c>
      <c r="K41" s="87">
        <f>ROUND(I41-(I41-J41)*(I40-K40)/(I40-J40),1)</f>
        <v>580</v>
      </c>
      <c r="L41" s="94" t="s">
        <v>276</v>
      </c>
    </row>
    <row r="42" spans="1:13" ht="15.75" thickBot="1" x14ac:dyDescent="0.3">
      <c r="A42" s="63" t="s">
        <v>217</v>
      </c>
      <c r="B42" s="34" t="s">
        <v>91</v>
      </c>
      <c r="C42" s="35"/>
      <c r="D42" s="35"/>
      <c r="E42" s="24"/>
      <c r="F42" s="29" t="s">
        <v>92</v>
      </c>
      <c r="G42" s="21">
        <v>3.0000000000000001E-3</v>
      </c>
      <c r="H42" s="21">
        <v>3.0000000000000001E-3</v>
      </c>
      <c r="I42" s="80" t="s">
        <v>273</v>
      </c>
      <c r="J42" s="81" t="s">
        <v>274</v>
      </c>
      <c r="K42" s="82" t="s">
        <v>275</v>
      </c>
    </row>
    <row r="43" spans="1:13" ht="15.75" thickBot="1" x14ac:dyDescent="0.3">
      <c r="A43" s="63" t="s">
        <v>218</v>
      </c>
      <c r="B43" s="34" t="s">
        <v>61</v>
      </c>
      <c r="C43" s="35"/>
      <c r="D43" s="35"/>
      <c r="E43" s="24"/>
      <c r="F43" s="29" t="s">
        <v>62</v>
      </c>
      <c r="G43" s="21">
        <v>2.3E-2</v>
      </c>
      <c r="H43" s="21">
        <v>2.3E-2</v>
      </c>
      <c r="I43" s="83">
        <v>100</v>
      </c>
      <c r="J43" s="14">
        <v>200</v>
      </c>
      <c r="K43" s="84">
        <v>120</v>
      </c>
    </row>
    <row r="44" spans="1:13" ht="15.75" thickBot="1" x14ac:dyDescent="0.3">
      <c r="A44" s="63" t="s">
        <v>219</v>
      </c>
      <c r="B44" s="34" t="s">
        <v>63</v>
      </c>
      <c r="C44" s="35"/>
      <c r="D44" s="35"/>
      <c r="E44" s="36"/>
      <c r="F44" s="29" t="s">
        <v>64</v>
      </c>
      <c r="G44" s="21">
        <v>2.2499999999999999E-2</v>
      </c>
      <c r="H44" s="21">
        <v>2.2499999999999999E-2</v>
      </c>
      <c r="I44" s="85">
        <v>590</v>
      </c>
      <c r="J44" s="86">
        <v>540</v>
      </c>
      <c r="K44" s="87">
        <f>ROUND(I44-(I44-J44)*(I43-K43)/(I43-J43),1)</f>
        <v>580</v>
      </c>
      <c r="L44" s="94" t="s">
        <v>271</v>
      </c>
    </row>
    <row r="45" spans="1:13" ht="15.75" thickBot="1" x14ac:dyDescent="0.3">
      <c r="A45" s="63" t="s">
        <v>220</v>
      </c>
      <c r="B45" s="34" t="s">
        <v>65</v>
      </c>
      <c r="C45" s="35"/>
      <c r="D45" s="35"/>
      <c r="E45" s="36"/>
      <c r="F45" s="18" t="s">
        <v>66</v>
      </c>
      <c r="G45" s="40">
        <f>G31+2*(G43+G33)</f>
        <v>0.86860000000000004</v>
      </c>
      <c r="H45" s="40">
        <f>H31+2*(H43+H33)</f>
        <v>0.86860000000000004</v>
      </c>
      <c r="I45" s="42" t="s">
        <v>67</v>
      </c>
      <c r="J45" s="40">
        <f>J31+2*(G43+J33)</f>
        <v>0.86299999999999999</v>
      </c>
      <c r="K45" s="40">
        <f>K31+2*(G43+K33)</f>
        <v>0.86299999999999999</v>
      </c>
    </row>
    <row r="46" spans="1:13" ht="15.75" thickBot="1" x14ac:dyDescent="0.3">
      <c r="A46" s="63" t="s">
        <v>220</v>
      </c>
      <c r="B46" s="34" t="s">
        <v>277</v>
      </c>
      <c r="C46" s="35"/>
      <c r="D46" s="35"/>
      <c r="E46" s="36"/>
      <c r="F46" s="18" t="s">
        <v>66</v>
      </c>
      <c r="G46" s="40">
        <f>G31+G40+2*(G25+G33)</f>
        <v>0.90660000000000007</v>
      </c>
      <c r="H46" s="40">
        <f>H31+H40+2*(H25+H33)</f>
        <v>0.90660000000000007</v>
      </c>
      <c r="I46" s="42" t="s">
        <v>67</v>
      </c>
      <c r="J46" s="40">
        <f>J31+G40+2*(J25+J33)</f>
        <v>0.90100000000000002</v>
      </c>
      <c r="K46" s="40">
        <f>K31+H40+2*(K25+K33)</f>
        <v>0.90100000000000002</v>
      </c>
    </row>
    <row r="47" spans="1:13" ht="15.75" thickBot="1" x14ac:dyDescent="0.3">
      <c r="A47" s="63" t="s">
        <v>221</v>
      </c>
      <c r="B47" s="34" t="s">
        <v>278</v>
      </c>
      <c r="C47" s="35"/>
      <c r="D47" s="35"/>
      <c r="E47" s="24"/>
      <c r="F47" s="29" t="s">
        <v>69</v>
      </c>
      <c r="G47" s="21">
        <v>0.90600000000000003</v>
      </c>
      <c r="H47" s="21">
        <v>0.90600000000000003</v>
      </c>
      <c r="J47" s="16"/>
      <c r="L47" s="13"/>
      <c r="M47" s="6"/>
    </row>
    <row r="48" spans="1:13" ht="15.75" thickBot="1" x14ac:dyDescent="0.3">
      <c r="A48" s="63" t="s">
        <v>222</v>
      </c>
      <c r="B48" s="34" t="s">
        <v>150</v>
      </c>
      <c r="C48" s="35"/>
      <c r="D48" s="35"/>
      <c r="E48" s="36"/>
      <c r="F48" s="18" t="s">
        <v>81</v>
      </c>
      <c r="G48" s="40">
        <f>6*G16</f>
        <v>4.8000000000000001E-2</v>
      </c>
      <c r="H48" s="40">
        <f>6*H16</f>
        <v>4.8000000000000001E-2</v>
      </c>
      <c r="I48" s="18" t="s">
        <v>82</v>
      </c>
      <c r="J48" s="40">
        <f>6*J16</f>
        <v>3.6000000000000004E-2</v>
      </c>
      <c r="K48" s="40">
        <f>6*K16</f>
        <v>3.6000000000000004E-2</v>
      </c>
    </row>
    <row r="49" spans="1:13" s="52" customFormat="1" ht="15.75" thickBot="1" x14ac:dyDescent="0.3">
      <c r="A49" s="63" t="s">
        <v>223</v>
      </c>
      <c r="B49" s="77" t="s">
        <v>151</v>
      </c>
      <c r="C49" s="78"/>
      <c r="D49" s="78"/>
      <c r="E49" s="79"/>
      <c r="F49" s="53" t="s">
        <v>152</v>
      </c>
      <c r="G49" s="21">
        <v>4.8000000000000001E-2</v>
      </c>
      <c r="H49" s="65">
        <v>0.08</v>
      </c>
      <c r="I49" s="53" t="s">
        <v>153</v>
      </c>
      <c r="J49" s="21">
        <v>3.5999999999999997E-2</v>
      </c>
      <c r="K49" s="65">
        <v>0.08</v>
      </c>
    </row>
    <row r="50" spans="1:13" ht="15.75" thickBot="1" x14ac:dyDescent="0.3">
      <c r="A50" s="63" t="s">
        <v>224</v>
      </c>
      <c r="B50" s="34" t="s">
        <v>83</v>
      </c>
      <c r="C50" s="35"/>
      <c r="D50" s="35"/>
      <c r="E50" s="36"/>
      <c r="F50" s="18" t="s">
        <v>84</v>
      </c>
      <c r="G50" s="25">
        <f>2*G39+6*G49/(G20+0.5)</f>
        <v>0.1552</v>
      </c>
      <c r="H50" s="67">
        <f>2*H39+6*H49/(H20+0.5)</f>
        <v>0.23200000000000001</v>
      </c>
      <c r="I50" s="18" t="s">
        <v>84</v>
      </c>
      <c r="J50" s="25">
        <f>2*G39+6*J49/(J20+0.5)</f>
        <v>0.12639999999999998</v>
      </c>
      <c r="K50" s="67">
        <f>2*H39+6*K49/(K20+0.5)</f>
        <v>0.23200000000000001</v>
      </c>
    </row>
    <row r="51" spans="1:13" ht="15.75" thickBot="1" x14ac:dyDescent="0.3">
      <c r="A51" s="63" t="s">
        <v>225</v>
      </c>
      <c r="B51" s="34" t="s">
        <v>85</v>
      </c>
      <c r="C51" s="35"/>
      <c r="D51" s="35"/>
      <c r="E51" s="36"/>
      <c r="F51" s="20" t="s">
        <v>86</v>
      </c>
      <c r="G51" s="25">
        <f>ROUND(3.14*G47/G50,1)</f>
        <v>18.3</v>
      </c>
      <c r="H51" s="67">
        <f>ROUND(3.14*H47/H50,1)</f>
        <v>12.3</v>
      </c>
      <c r="I51" s="20" t="s">
        <v>86</v>
      </c>
      <c r="J51" s="25">
        <f>ROUND(3.14*G47/J50,1)</f>
        <v>22.5</v>
      </c>
      <c r="K51" s="67">
        <f>ROUND(3.14*H47/K50,1)</f>
        <v>12.3</v>
      </c>
      <c r="M51" s="6"/>
    </row>
    <row r="52" spans="1:13" ht="15.75" thickBot="1" x14ac:dyDescent="0.3">
      <c r="A52" s="63" t="s">
        <v>226</v>
      </c>
      <c r="B52" s="34" t="s">
        <v>74</v>
      </c>
      <c r="C52" s="35"/>
      <c r="D52" s="35"/>
      <c r="E52" s="36"/>
      <c r="F52" s="20" t="s">
        <v>76</v>
      </c>
      <c r="G52" s="19">
        <v>6.3500000000000001E-2</v>
      </c>
      <c r="H52" s="19">
        <v>6.3500000000000001E-2</v>
      </c>
      <c r="I52" s="18" t="s">
        <v>75</v>
      </c>
      <c r="J52" s="21">
        <v>4.65E-2</v>
      </c>
      <c r="K52" s="21">
        <v>4.65E-2</v>
      </c>
    </row>
    <row r="53" spans="1:13" ht="15.75" thickBot="1" x14ac:dyDescent="0.3">
      <c r="A53" s="63" t="s">
        <v>227</v>
      </c>
      <c r="B53" s="34" t="s">
        <v>77</v>
      </c>
      <c r="C53" s="35"/>
      <c r="D53" s="35"/>
      <c r="E53" s="36"/>
      <c r="F53" s="20" t="s">
        <v>78</v>
      </c>
      <c r="G53" s="25">
        <f>ROUND(3.14*G47/G52,1)</f>
        <v>44.8</v>
      </c>
      <c r="H53" s="25">
        <f>ROUND(3.14*H47/H52,1)</f>
        <v>44.8</v>
      </c>
      <c r="I53" s="20" t="s">
        <v>78</v>
      </c>
      <c r="J53" s="25">
        <f>ROUND(3.14*G47/J52,1)</f>
        <v>61.2</v>
      </c>
      <c r="K53" s="25">
        <f>ROUND(3.14*H47/K52,1)</f>
        <v>61.2</v>
      </c>
      <c r="M53" s="58"/>
    </row>
    <row r="54" spans="1:13" ht="15.75" thickBot="1" x14ac:dyDescent="0.3">
      <c r="A54" s="63" t="s">
        <v>228</v>
      </c>
      <c r="B54" s="77" t="s">
        <v>88</v>
      </c>
      <c r="C54" s="35"/>
      <c r="D54" s="35"/>
      <c r="E54" s="24"/>
      <c r="F54" s="29" t="s">
        <v>87</v>
      </c>
      <c r="G54" s="21">
        <v>40</v>
      </c>
      <c r="H54" s="65">
        <v>36</v>
      </c>
      <c r="I54" s="97" t="s">
        <v>285</v>
      </c>
      <c r="J54" s="16"/>
    </row>
    <row r="55" spans="1:13" ht="15.75" thickBot="1" x14ac:dyDescent="0.3">
      <c r="A55" s="63" t="s">
        <v>229</v>
      </c>
      <c r="B55" s="34" t="s">
        <v>280</v>
      </c>
      <c r="C55" s="35"/>
      <c r="D55" s="35"/>
      <c r="E55" s="24"/>
      <c r="F55" s="42" t="s">
        <v>279</v>
      </c>
      <c r="G55" s="40">
        <f>G47-G40-2*G42</f>
        <v>0.876</v>
      </c>
      <c r="H55" s="40">
        <f>H47-H40-2*H42</f>
        <v>0.876</v>
      </c>
      <c r="I55" s="42" t="s">
        <v>281</v>
      </c>
      <c r="J55" s="40">
        <f>G55-2*G25</f>
        <v>0.81600000000000006</v>
      </c>
      <c r="K55" s="40">
        <f>H55-2*H25</f>
        <v>0.81600000000000006</v>
      </c>
    </row>
    <row r="56" spans="1:13" ht="15.75" thickBot="1" x14ac:dyDescent="0.3">
      <c r="A56" s="63" t="s">
        <v>230</v>
      </c>
      <c r="B56" s="34" t="s">
        <v>119</v>
      </c>
      <c r="C56" s="35"/>
      <c r="D56" s="35"/>
      <c r="E56" s="24"/>
      <c r="F56" s="42" t="s">
        <v>93</v>
      </c>
      <c r="G56" s="40">
        <f>G47-G40-2*G42-2*G27</f>
        <v>0.84840000000000004</v>
      </c>
      <c r="H56" s="40">
        <f>H47-H40-2*H42-2*H27</f>
        <v>0.84840000000000004</v>
      </c>
      <c r="I56" s="42" t="s">
        <v>94</v>
      </c>
      <c r="J56" s="40">
        <f>G47-G40-2*G42-2*J27</f>
        <v>0.84840000000000004</v>
      </c>
      <c r="K56" s="40">
        <f>H47-H40-2*H42-2*K27</f>
        <v>0.84840000000000004</v>
      </c>
    </row>
    <row r="57" spans="1:13" ht="15.75" thickBot="1" x14ac:dyDescent="0.3">
      <c r="B57" s="95" t="s">
        <v>185</v>
      </c>
      <c r="C57" s="94"/>
    </row>
    <row r="58" spans="1:13" ht="15.75" thickBot="1" x14ac:dyDescent="0.3">
      <c r="A58" s="63" t="s">
        <v>231</v>
      </c>
      <c r="B58" s="34" t="s">
        <v>107</v>
      </c>
      <c r="C58" s="35"/>
      <c r="D58" s="35"/>
      <c r="E58" s="22"/>
      <c r="F58" s="42" t="s">
        <v>95</v>
      </c>
      <c r="G58" s="28">
        <f>3.14*G56^2*G12/4</f>
        <v>0.90404689536000016</v>
      </c>
      <c r="H58" s="28">
        <f>3.14*H56^2*H12/4</f>
        <v>0.90404689536000016</v>
      </c>
      <c r="I58" s="18" t="s">
        <v>96</v>
      </c>
      <c r="J58" s="28">
        <f>3.14*J56^2*J12/4</f>
        <v>0.56502930960000008</v>
      </c>
      <c r="K58" s="28">
        <f>3.14*K56^2*K12/4</f>
        <v>0.56502930960000008</v>
      </c>
    </row>
    <row r="59" spans="1:13" ht="15.75" thickBot="1" x14ac:dyDescent="0.3">
      <c r="A59" s="63" t="s">
        <v>232</v>
      </c>
      <c r="B59" s="34" t="s">
        <v>109</v>
      </c>
      <c r="C59" s="35"/>
      <c r="D59" s="35"/>
      <c r="E59" s="22"/>
      <c r="F59" s="42" t="s">
        <v>110</v>
      </c>
      <c r="G59" s="28">
        <f>3.14*G31^2*G12/4</f>
        <v>0.80384000000000011</v>
      </c>
      <c r="H59" s="28">
        <f>3.14*H31^2*H12/4</f>
        <v>0.80384000000000011</v>
      </c>
      <c r="I59" s="42" t="s">
        <v>111</v>
      </c>
      <c r="J59" s="28">
        <f>3.14*J31^2*J12/4</f>
        <v>0.50240000000000007</v>
      </c>
      <c r="K59" s="28">
        <f>3.14*K31^2*K12/4</f>
        <v>0.50240000000000007</v>
      </c>
    </row>
    <row r="60" spans="1:13" ht="15.75" thickBot="1" x14ac:dyDescent="0.3">
      <c r="A60" s="63" t="s">
        <v>233</v>
      </c>
      <c r="B60" s="34" t="s">
        <v>112</v>
      </c>
      <c r="C60" s="35"/>
      <c r="D60" s="35"/>
      <c r="E60" s="22"/>
      <c r="F60" s="42" t="s">
        <v>113</v>
      </c>
      <c r="G60" s="28">
        <f>G58-G59</f>
        <v>0.10020689536000005</v>
      </c>
      <c r="H60" s="28">
        <f>H58-H59</f>
        <v>0.10020689536000005</v>
      </c>
      <c r="I60" s="42" t="s">
        <v>114</v>
      </c>
      <c r="J60" s="28">
        <f>J58-J59</f>
        <v>6.2629309600000016E-2</v>
      </c>
      <c r="K60" s="28">
        <f>K58-K59</f>
        <v>6.2629309600000016E-2</v>
      </c>
    </row>
    <row r="61" spans="1:13" ht="15.75" thickBot="1" x14ac:dyDescent="0.3">
      <c r="A61" s="63" t="s">
        <v>234</v>
      </c>
      <c r="B61" s="34" t="s">
        <v>99</v>
      </c>
      <c r="C61" s="35"/>
      <c r="D61" s="35"/>
      <c r="E61" s="22"/>
      <c r="F61" s="42" t="s">
        <v>97</v>
      </c>
      <c r="G61" s="28">
        <f>2*3.14*G56*G27*G20*G12</f>
        <v>0.23528236032000002</v>
      </c>
      <c r="H61" s="28">
        <f>2*3.14*H56*H27*H20*H12</f>
        <v>0.23528236032000002</v>
      </c>
      <c r="I61" s="42" t="s">
        <v>98</v>
      </c>
      <c r="J61" s="28">
        <f>2*3.14*J56*J27*J20*J12</f>
        <v>0.1470514752</v>
      </c>
      <c r="K61" s="28">
        <f>2*3.14*K56*K27*K20*K12</f>
        <v>0.1470514752</v>
      </c>
    </row>
    <row r="62" spans="1:13" ht="15.75" thickBot="1" x14ac:dyDescent="0.3">
      <c r="A62" s="63" t="s">
        <v>235</v>
      </c>
      <c r="B62" s="34" t="s">
        <v>115</v>
      </c>
      <c r="C62" s="35"/>
      <c r="D62" s="35"/>
      <c r="E62" s="22"/>
      <c r="F62" s="42" t="s">
        <v>101</v>
      </c>
      <c r="G62" s="28">
        <f>3.14*G27*G56*G21</f>
        <v>0.88230885120000002</v>
      </c>
      <c r="H62" s="28">
        <f>3.14*H27*H56*H21</f>
        <v>0.88230885120000002</v>
      </c>
      <c r="I62" s="42" t="s">
        <v>103</v>
      </c>
      <c r="J62" s="28">
        <f>3.14*J27*J56*J21</f>
        <v>0.88230885120000002</v>
      </c>
      <c r="K62" s="28">
        <f>3.14*K27*K56*K21</f>
        <v>0.88230885120000002</v>
      </c>
    </row>
    <row r="63" spans="1:13" ht="15.75" thickBot="1" x14ac:dyDescent="0.3">
      <c r="A63" s="63" t="s">
        <v>236</v>
      </c>
      <c r="B63" s="34" t="s">
        <v>100</v>
      </c>
      <c r="C63" s="35"/>
      <c r="D63" s="35"/>
      <c r="E63" s="22"/>
      <c r="F63" s="42" t="s">
        <v>102</v>
      </c>
      <c r="G63" s="28">
        <f>G58+G61</f>
        <v>1.1393292556800001</v>
      </c>
      <c r="H63" s="28">
        <f>H58+H61</f>
        <v>1.1393292556800001</v>
      </c>
      <c r="I63" s="42" t="s">
        <v>104</v>
      </c>
      <c r="J63" s="28">
        <f>J58+J61</f>
        <v>0.71208078480000014</v>
      </c>
      <c r="K63" s="28">
        <f>K58+K61</f>
        <v>0.71208078480000014</v>
      </c>
    </row>
    <row r="64" spans="1:13" ht="15.75" thickBot="1" x14ac:dyDescent="0.3">
      <c r="B64" s="95" t="s">
        <v>116</v>
      </c>
    </row>
    <row r="65" spans="1:11" ht="15.75" thickBot="1" x14ac:dyDescent="0.3">
      <c r="A65" s="63" t="s">
        <v>237</v>
      </c>
      <c r="B65" s="34" t="s">
        <v>129</v>
      </c>
      <c r="C65" s="35"/>
      <c r="D65" s="35"/>
      <c r="E65" s="35"/>
      <c r="F65" s="42" t="s">
        <v>127</v>
      </c>
      <c r="G65" s="44">
        <f>G37/4</f>
        <v>200</v>
      </c>
      <c r="H65" s="44">
        <f>H37/4</f>
        <v>200</v>
      </c>
      <c r="I65" s="49" t="s">
        <v>128</v>
      </c>
      <c r="J65" s="40">
        <f>J37/3</f>
        <v>193.33333333333334</v>
      </c>
      <c r="K65" s="40">
        <f>K37/3</f>
        <v>193.33333333333334</v>
      </c>
    </row>
    <row r="66" spans="1:11" ht="15.75" thickBot="1" x14ac:dyDescent="0.3">
      <c r="A66" s="63" t="s">
        <v>238</v>
      </c>
      <c r="B66" s="34" t="s">
        <v>130</v>
      </c>
      <c r="C66" s="35"/>
      <c r="D66" s="35"/>
      <c r="E66" s="22"/>
      <c r="F66" s="42" t="s">
        <v>131</v>
      </c>
      <c r="G66" s="28">
        <f>G62/G65</f>
        <v>4.4115442559999997E-3</v>
      </c>
      <c r="H66" s="28">
        <f>H62/H65</f>
        <v>4.4115442559999997E-3</v>
      </c>
      <c r="I66" s="42" t="s">
        <v>132</v>
      </c>
      <c r="J66" s="28">
        <f>J62/G65</f>
        <v>4.4115442559999997E-3</v>
      </c>
      <c r="K66" s="28">
        <f>K62/H65</f>
        <v>4.4115442559999997E-3</v>
      </c>
    </row>
    <row r="67" spans="1:11" ht="15.75" thickBot="1" x14ac:dyDescent="0.3">
      <c r="A67" s="63" t="s">
        <v>239</v>
      </c>
      <c r="B67" s="34" t="s">
        <v>133</v>
      </c>
      <c r="C67" s="35"/>
      <c r="D67" s="35"/>
      <c r="E67" s="22"/>
      <c r="F67" s="42" t="s">
        <v>131</v>
      </c>
      <c r="G67" s="28">
        <f>G63/J65</f>
        <v>5.893082356965517E-3</v>
      </c>
      <c r="H67" s="28">
        <f>H63/K65</f>
        <v>5.893082356965517E-3</v>
      </c>
      <c r="I67" s="42" t="s">
        <v>132</v>
      </c>
      <c r="J67" s="28">
        <f>J63/J65</f>
        <v>3.683176473103449E-3</v>
      </c>
      <c r="K67" s="28">
        <f>K63/K65</f>
        <v>3.683176473103449E-3</v>
      </c>
    </row>
    <row r="68" spans="1:11" ht="15.75" thickBot="1" x14ac:dyDescent="0.3">
      <c r="A68" s="63" t="s">
        <v>240</v>
      </c>
      <c r="B68" s="34" t="s">
        <v>134</v>
      </c>
      <c r="C68" s="35"/>
      <c r="D68" s="35"/>
      <c r="E68" s="22"/>
      <c r="F68" s="59"/>
      <c r="G68" s="28">
        <f>MAX(G66,J66,G67,J67)</f>
        <v>5.893082356965517E-3</v>
      </c>
      <c r="H68" s="40">
        <f>MAX(H66,K66,H67,K67)</f>
        <v>5.893082356965517E-3</v>
      </c>
      <c r="I68" s="42" t="s">
        <v>135</v>
      </c>
      <c r="J68" s="50" t="s">
        <v>138</v>
      </c>
      <c r="K68" s="50" t="s">
        <v>138</v>
      </c>
    </row>
    <row r="69" spans="1:11" ht="15.75" thickBot="1" x14ac:dyDescent="0.3">
      <c r="A69" s="63" t="s">
        <v>241</v>
      </c>
      <c r="B69" s="60" t="s">
        <v>136</v>
      </c>
      <c r="C69" s="61"/>
      <c r="D69" s="61"/>
      <c r="E69" s="62"/>
      <c r="G69" s="40">
        <f>G41*G54</f>
        <v>9.7999999999999997E-3</v>
      </c>
      <c r="H69" s="68">
        <f>G41*H54</f>
        <v>8.8199999999999997E-3</v>
      </c>
      <c r="I69" s="42" t="s">
        <v>137</v>
      </c>
      <c r="J69" s="15" t="str">
        <f>IF(G69&gt;G68,"OK","EROR")</f>
        <v>OK</v>
      </c>
      <c r="K69" s="15" t="str">
        <f>IF(H69&gt;H68,"OK","EROR")</f>
        <v>OK</v>
      </c>
    </row>
    <row r="70" spans="1:11" ht="15.75" thickBot="1" x14ac:dyDescent="0.3">
      <c r="A70" s="63" t="s">
        <v>242</v>
      </c>
      <c r="B70" s="34" t="s">
        <v>139</v>
      </c>
      <c r="C70" s="35"/>
      <c r="D70" s="35"/>
      <c r="E70" s="22"/>
      <c r="F70" s="59"/>
      <c r="G70" s="28">
        <f>0.5*(G68+G69)*G65</f>
        <v>1.5693082356965518</v>
      </c>
      <c r="H70" s="68">
        <f>0.5*(H68+H69)*H65</f>
        <v>1.4713082356965517</v>
      </c>
      <c r="I70" s="42" t="s">
        <v>140</v>
      </c>
    </row>
    <row r="71" spans="1:11" x14ac:dyDescent="0.25">
      <c r="A71" s="63"/>
      <c r="B71" s="61"/>
      <c r="C71" s="61"/>
      <c r="D71" s="61"/>
      <c r="E71" s="64"/>
      <c r="F71" s="5"/>
      <c r="G71" s="41"/>
      <c r="I71" s="41"/>
    </row>
    <row r="72" spans="1:11" ht="15.75" thickBot="1" x14ac:dyDescent="0.3">
      <c r="B72" s="89" t="s">
        <v>141</v>
      </c>
      <c r="C72" s="89" t="s">
        <v>142</v>
      </c>
      <c r="D72" s="32"/>
      <c r="E72" s="17"/>
      <c r="F72" s="17"/>
      <c r="G72" s="17"/>
      <c r="I72" s="17"/>
      <c r="J72" s="17"/>
    </row>
    <row r="73" spans="1:11" ht="15.75" thickBot="1" x14ac:dyDescent="0.3">
      <c r="B73" s="6" t="s">
        <v>184</v>
      </c>
      <c r="F73" s="72" t="s">
        <v>10</v>
      </c>
      <c r="G73" s="91" t="s">
        <v>270</v>
      </c>
      <c r="H73" s="73" t="s">
        <v>271</v>
      </c>
      <c r="I73" s="74" t="s">
        <v>11</v>
      </c>
      <c r="J73" s="92" t="s">
        <v>270</v>
      </c>
      <c r="K73" s="75" t="s">
        <v>271</v>
      </c>
    </row>
    <row r="74" spans="1:11" ht="15.75" thickBot="1" x14ac:dyDescent="0.3">
      <c r="A74" s="63" t="s">
        <v>243</v>
      </c>
      <c r="B74" s="34" t="s">
        <v>50</v>
      </c>
      <c r="C74" s="35"/>
      <c r="D74" s="35"/>
      <c r="E74" s="22"/>
      <c r="F74" s="20" t="s">
        <v>51</v>
      </c>
      <c r="G74" s="25">
        <f>G31</f>
        <v>0.8</v>
      </c>
      <c r="H74" s="25">
        <f>H31</f>
        <v>0.8</v>
      </c>
      <c r="I74" s="20" t="s">
        <v>145</v>
      </c>
      <c r="J74" s="25">
        <f>J31</f>
        <v>0.8</v>
      </c>
      <c r="K74" s="25">
        <f>K31</f>
        <v>0.8</v>
      </c>
    </row>
    <row r="75" spans="1:11" ht="15.75" thickBot="1" x14ac:dyDescent="0.3">
      <c r="A75" s="63" t="s">
        <v>244</v>
      </c>
      <c r="B75" s="34" t="s">
        <v>68</v>
      </c>
      <c r="C75" s="35"/>
      <c r="D75" s="35"/>
      <c r="E75" s="24"/>
      <c r="F75" s="29" t="s">
        <v>69</v>
      </c>
      <c r="G75" s="45">
        <f>G47</f>
        <v>0.90600000000000003</v>
      </c>
      <c r="H75" s="45">
        <f>H47</f>
        <v>0.90600000000000003</v>
      </c>
      <c r="J75" s="16"/>
    </row>
    <row r="76" spans="1:11" ht="15.75" thickBot="1" x14ac:dyDescent="0.3">
      <c r="A76" s="63" t="s">
        <v>245</v>
      </c>
      <c r="B76" s="34" t="s">
        <v>143</v>
      </c>
      <c r="C76" s="35"/>
      <c r="D76" s="35"/>
      <c r="E76" s="22"/>
      <c r="F76" s="42" t="s">
        <v>144</v>
      </c>
      <c r="G76" s="25">
        <f>G75+2*G44</f>
        <v>0.95100000000000007</v>
      </c>
      <c r="H76" s="25">
        <f>H75+2*G44</f>
        <v>0.95100000000000007</v>
      </c>
      <c r="I76" s="42" t="s">
        <v>146</v>
      </c>
      <c r="J76" s="40">
        <f>G75+2*G44</f>
        <v>0.95100000000000007</v>
      </c>
      <c r="K76" s="40">
        <f>H75+2*G44</f>
        <v>0.95100000000000007</v>
      </c>
    </row>
    <row r="77" spans="1:11" ht="15.75" thickBot="1" x14ac:dyDescent="0.3">
      <c r="A77" s="63" t="s">
        <v>246</v>
      </c>
      <c r="B77" s="34" t="s">
        <v>80</v>
      </c>
      <c r="C77" s="35"/>
      <c r="D77" s="35"/>
      <c r="E77" s="36"/>
      <c r="F77" s="18" t="s">
        <v>81</v>
      </c>
      <c r="G77" s="25">
        <f>G49</f>
        <v>4.8000000000000001E-2</v>
      </c>
      <c r="H77" s="67">
        <f>H49</f>
        <v>0.08</v>
      </c>
      <c r="I77" s="18" t="s">
        <v>82</v>
      </c>
      <c r="J77" s="40">
        <f>J49</f>
        <v>3.5999999999999997E-2</v>
      </c>
      <c r="K77" s="68">
        <f>K49</f>
        <v>0.08</v>
      </c>
    </row>
    <row r="78" spans="1:11" ht="15.75" thickBot="1" x14ac:dyDescent="0.3">
      <c r="A78" s="63" t="s">
        <v>247</v>
      </c>
      <c r="B78" s="51" t="s">
        <v>147</v>
      </c>
      <c r="C78" s="35"/>
      <c r="D78" s="35"/>
      <c r="E78" s="22"/>
      <c r="F78" s="42" t="s">
        <v>156</v>
      </c>
      <c r="G78" s="25">
        <f>(G75-G74-G34)/2</f>
        <v>4.3349999999999993E-2</v>
      </c>
      <c r="H78" s="25">
        <f>(H75-H74-H34)/2</f>
        <v>4.3349999999999993E-2</v>
      </c>
      <c r="I78" s="42" t="s">
        <v>156</v>
      </c>
      <c r="J78" s="25">
        <f>(G75-J74-J34)/2</f>
        <v>4.5749999999999992E-2</v>
      </c>
      <c r="K78" s="25">
        <f>(H75-K74-K34)/2</f>
        <v>4.5749999999999992E-2</v>
      </c>
    </row>
    <row r="79" spans="1:11" ht="15.75" thickBot="1" x14ac:dyDescent="0.3">
      <c r="A79" s="63" t="s">
        <v>248</v>
      </c>
      <c r="B79" s="51" t="s">
        <v>149</v>
      </c>
      <c r="C79" s="35"/>
      <c r="D79" s="35"/>
      <c r="E79" s="22"/>
      <c r="F79" s="42" t="s">
        <v>158</v>
      </c>
      <c r="G79" s="25">
        <f>(2*G75-G74-G56)/4</f>
        <v>4.0899999999999992E-2</v>
      </c>
      <c r="H79" s="25">
        <f>(2*H75-H74-H56)/4</f>
        <v>4.0899999999999992E-2</v>
      </c>
      <c r="I79" s="42" t="s">
        <v>158</v>
      </c>
      <c r="J79" s="25">
        <f>(2*G75-J74-J56)/4</f>
        <v>4.0899999999999992E-2</v>
      </c>
      <c r="K79" s="25">
        <f>(2*H75-K74-K56)/4</f>
        <v>4.0899999999999992E-2</v>
      </c>
    </row>
    <row r="80" spans="1:11" ht="15.75" thickBot="1" x14ac:dyDescent="0.3">
      <c r="A80" s="63" t="s">
        <v>249</v>
      </c>
      <c r="B80" s="51" t="s">
        <v>148</v>
      </c>
      <c r="C80" s="35"/>
      <c r="D80" s="35"/>
      <c r="E80" s="22"/>
      <c r="F80" s="42" t="s">
        <v>157</v>
      </c>
      <c r="G80" s="25">
        <f>(G75-G56)/2</f>
        <v>2.8799999999999992E-2</v>
      </c>
      <c r="H80" s="25">
        <f>(H75-H56)/2</f>
        <v>2.8799999999999992E-2</v>
      </c>
      <c r="I80" s="42" t="s">
        <v>157</v>
      </c>
      <c r="J80" s="25">
        <f>(G75-J56)/2</f>
        <v>2.8799999999999992E-2</v>
      </c>
      <c r="K80" s="25">
        <f>(H75-K56)/2</f>
        <v>2.8799999999999992E-2</v>
      </c>
    </row>
    <row r="81" spans="1:13" ht="15.75" thickBot="1" x14ac:dyDescent="0.3">
      <c r="A81" s="10"/>
      <c r="B81" s="89" t="s">
        <v>154</v>
      </c>
      <c r="C81" s="89" t="s">
        <v>155</v>
      </c>
      <c r="D81" s="32"/>
      <c r="E81" s="17"/>
      <c r="F81" s="17"/>
      <c r="G81" s="17"/>
      <c r="I81" s="17"/>
      <c r="J81" s="17"/>
    </row>
    <row r="82" spans="1:13" ht="15.75" thickBot="1" x14ac:dyDescent="0.3">
      <c r="A82" s="10"/>
      <c r="F82" s="72" t="s">
        <v>10</v>
      </c>
      <c r="G82" s="91" t="s">
        <v>270</v>
      </c>
      <c r="H82" s="73" t="s">
        <v>271</v>
      </c>
      <c r="I82" s="74" t="s">
        <v>11</v>
      </c>
      <c r="J82" s="92" t="s">
        <v>270</v>
      </c>
      <c r="K82" s="75" t="s">
        <v>271</v>
      </c>
    </row>
    <row r="83" spans="1:13" ht="15.75" thickBot="1" x14ac:dyDescent="0.3">
      <c r="A83" s="63" t="s">
        <v>250</v>
      </c>
      <c r="B83" s="34" t="s">
        <v>264</v>
      </c>
      <c r="C83" s="35"/>
      <c r="D83" s="35"/>
      <c r="E83" s="22"/>
      <c r="F83" s="48" t="s">
        <v>159</v>
      </c>
      <c r="G83" s="25">
        <f>G70*G80</f>
        <v>4.5196077188060679E-2</v>
      </c>
      <c r="H83" s="67">
        <f>H70*H80</f>
        <v>4.2373677188060677E-2</v>
      </c>
      <c r="I83" s="48" t="s">
        <v>160</v>
      </c>
      <c r="J83" s="25">
        <f>G70*J80</f>
        <v>4.5196077188060679E-2</v>
      </c>
      <c r="K83" s="67">
        <f>H70*K80</f>
        <v>4.2373677188060677E-2</v>
      </c>
    </row>
    <row r="84" spans="1:13" ht="15.75" thickBot="1" x14ac:dyDescent="0.3">
      <c r="A84" s="63" t="s">
        <v>251</v>
      </c>
      <c r="B84" s="34" t="s">
        <v>265</v>
      </c>
      <c r="C84" s="35"/>
      <c r="D84" s="35"/>
      <c r="E84" s="22"/>
      <c r="F84" s="48" t="s">
        <v>161</v>
      </c>
      <c r="G84" s="25">
        <f>G59*G78+G60*G79+G61*G80</f>
        <v>4.5721057997440001E-2</v>
      </c>
      <c r="H84" s="25">
        <f>H59*H78+H60*H79+H61*H80</f>
        <v>4.5721057997440001E-2</v>
      </c>
      <c r="I84" s="48" t="s">
        <v>162</v>
      </c>
      <c r="J84" s="25">
        <f>J59*J78+J60*J79+J61*J80</f>
        <v>2.9781421248400001E-2</v>
      </c>
      <c r="K84" s="25">
        <f>K59*K78+K60*K79+K61*K80</f>
        <v>2.9781421248400001E-2</v>
      </c>
    </row>
    <row r="85" spans="1:13" ht="15.75" thickBot="1" x14ac:dyDescent="0.3">
      <c r="A85" s="10"/>
      <c r="B85" s="95" t="s">
        <v>163</v>
      </c>
      <c r="C85" s="94"/>
      <c r="D85" s="94"/>
    </row>
    <row r="86" spans="1:13" ht="15.75" thickBot="1" x14ac:dyDescent="0.3">
      <c r="A86" s="63" t="s">
        <v>252</v>
      </c>
      <c r="B86" s="34" t="s">
        <v>186</v>
      </c>
      <c r="C86" s="35"/>
      <c r="D86" s="35"/>
      <c r="E86" s="22"/>
      <c r="F86" s="54" t="s">
        <v>164</v>
      </c>
      <c r="G86" s="28">
        <f>G76/G74</f>
        <v>1.18875</v>
      </c>
      <c r="H86" s="28">
        <f>H76/H74</f>
        <v>1.18875</v>
      </c>
      <c r="I86" s="54" t="s">
        <v>165</v>
      </c>
      <c r="J86" s="28">
        <f>J76/J74</f>
        <v>1.18875</v>
      </c>
      <c r="K86" s="28">
        <f>K76/K74</f>
        <v>1.18875</v>
      </c>
      <c r="L86" s="55"/>
    </row>
    <row r="87" spans="1:13" ht="15.75" thickBot="1" x14ac:dyDescent="0.3">
      <c r="A87" s="63" t="s">
        <v>253</v>
      </c>
      <c r="B87" s="34" t="s">
        <v>187</v>
      </c>
      <c r="C87" s="35"/>
      <c r="D87" s="35"/>
      <c r="E87" s="22"/>
      <c r="F87" s="54" t="s">
        <v>166</v>
      </c>
      <c r="G87" s="28">
        <f>MAX((G39/(2*G39+6*G77/(G20+0.5)))^(1/2),1)</f>
        <v>1</v>
      </c>
      <c r="H87" s="28">
        <f>MAX((G39/(2*G39+6*H77/(H20+0.5)))^(1/2),1)</f>
        <v>1</v>
      </c>
      <c r="I87" s="54" t="s">
        <v>167</v>
      </c>
      <c r="J87" s="28">
        <f>MAX((H39/(2*H39+6*J77/(J20+0.5)))^(1/2),1)</f>
        <v>1</v>
      </c>
      <c r="K87" s="28">
        <f>MAX((H39/(2*H39+6*K77/(K20+0.5)))^(1/2),1)</f>
        <v>1</v>
      </c>
      <c r="L87" s="10"/>
    </row>
    <row r="88" spans="1:13" ht="15.75" thickBot="1" x14ac:dyDescent="0.3">
      <c r="A88" s="63" t="s">
        <v>254</v>
      </c>
      <c r="B88" s="34" t="s">
        <v>188</v>
      </c>
      <c r="C88" s="35"/>
      <c r="D88" s="35"/>
      <c r="E88" s="22"/>
      <c r="F88" s="54" t="s">
        <v>168</v>
      </c>
      <c r="G88" s="28">
        <f>(1/(G86-1))*(0.66845+5.7169*G86^2*LOG(G86)/(G86^2-1))</f>
        <v>11.321047593770023</v>
      </c>
      <c r="H88" s="28">
        <f>(1/(H86-1))*(0.66845+5.7169*H86^2*LOG(H86)/(H86^2-1))</f>
        <v>11.321047593770023</v>
      </c>
      <c r="I88" s="98" t="s">
        <v>286</v>
      </c>
      <c r="J88" s="28">
        <f>(1/(J86-1))*(0.66845+5.7169*J86^2*LOG(J86)/(J86^2-1))</f>
        <v>11.321047593770023</v>
      </c>
      <c r="K88" s="28">
        <f>(1/(K86-1))*(0.66845+5.7169*K86^2*LOG(K86)/(K86^2-1))</f>
        <v>11.321047593770023</v>
      </c>
      <c r="M88" s="55"/>
    </row>
    <row r="89" spans="1:13" ht="15.75" thickBot="1" x14ac:dyDescent="0.3">
      <c r="A89" s="10"/>
      <c r="B89" s="95" t="s">
        <v>169</v>
      </c>
      <c r="C89" s="94"/>
    </row>
    <row r="90" spans="1:13" ht="15.75" thickBot="1" x14ac:dyDescent="0.3">
      <c r="A90" s="63" t="s">
        <v>255</v>
      </c>
      <c r="B90" s="34" t="s">
        <v>266</v>
      </c>
      <c r="C90" s="35"/>
      <c r="D90" s="35"/>
      <c r="E90" s="22"/>
      <c r="F90" s="49" t="s">
        <v>170</v>
      </c>
      <c r="G90" s="28">
        <f>G83*G87/G74</f>
        <v>5.6495096485075849E-2</v>
      </c>
      <c r="H90" s="66">
        <f>H83*H87/H74</f>
        <v>5.2967096485075846E-2</v>
      </c>
      <c r="I90" s="49" t="s">
        <v>171</v>
      </c>
      <c r="J90" s="28">
        <f>J83*J87/J74</f>
        <v>5.6495096485075849E-2</v>
      </c>
      <c r="K90" s="66">
        <f>K83*K87/K74</f>
        <v>5.2967096485075846E-2</v>
      </c>
      <c r="M90" s="55"/>
    </row>
    <row r="91" spans="1:13" ht="15.75" thickBot="1" x14ac:dyDescent="0.3">
      <c r="A91" s="63" t="s">
        <v>256</v>
      </c>
      <c r="B91" s="34" t="s">
        <v>267</v>
      </c>
      <c r="C91" s="35"/>
      <c r="D91" s="35"/>
      <c r="E91" s="22"/>
      <c r="F91" s="49" t="s">
        <v>170</v>
      </c>
      <c r="G91" s="28">
        <f>G84*G87/G74</f>
        <v>5.7151322496800001E-2</v>
      </c>
      <c r="H91" s="28">
        <f>H84*H87/H74</f>
        <v>5.7151322496800001E-2</v>
      </c>
      <c r="I91" s="49" t="s">
        <v>171</v>
      </c>
      <c r="J91" s="28">
        <f>J84*J87/J74</f>
        <v>3.7226776560499997E-2</v>
      </c>
      <c r="K91" s="28">
        <f>K84*K87/K74</f>
        <v>3.7226776560499997E-2</v>
      </c>
    </row>
    <row r="92" spans="1:13" ht="15.75" thickBot="1" x14ac:dyDescent="0.3">
      <c r="A92" s="63" t="s">
        <v>257</v>
      </c>
      <c r="B92" s="34" t="s">
        <v>268</v>
      </c>
      <c r="C92" s="35"/>
      <c r="D92" s="35"/>
      <c r="E92" s="22"/>
      <c r="F92" s="49" t="s">
        <v>173</v>
      </c>
      <c r="G92" s="28">
        <f>G88*G90/G77^2</f>
        <v>277.59708165024881</v>
      </c>
      <c r="H92" s="66">
        <f>H88*H90/H77^2</f>
        <v>93.69422190802382</v>
      </c>
      <c r="I92" s="99" t="s">
        <v>287</v>
      </c>
      <c r="J92" s="28">
        <f>J88*J90/J77^2</f>
        <v>493.50592293377571</v>
      </c>
      <c r="K92" s="66">
        <f>K88*K90/K77^2</f>
        <v>93.69422190802382</v>
      </c>
      <c r="M92" s="55"/>
    </row>
    <row r="93" spans="1:13" ht="15.75" thickBot="1" x14ac:dyDescent="0.3">
      <c r="A93" s="63" t="s">
        <v>258</v>
      </c>
      <c r="B93" s="34" t="s">
        <v>269</v>
      </c>
      <c r="C93" s="35"/>
      <c r="D93" s="35"/>
      <c r="E93" s="22"/>
      <c r="F93" s="49" t="s">
        <v>173</v>
      </c>
      <c r="G93" s="28">
        <f>G88*G91/G77^2</f>
        <v>280.8215460213421</v>
      </c>
      <c r="H93" s="66">
        <f>H88*H91/H77^2</f>
        <v>101.09575656768315</v>
      </c>
      <c r="I93" s="99" t="s">
        <v>287</v>
      </c>
      <c r="J93" s="28">
        <f>J88*J91/J77^2</f>
        <v>325.18989907720896</v>
      </c>
      <c r="K93" s="66">
        <f>K88*K91/K77^2</f>
        <v>65.850954563134806</v>
      </c>
    </row>
    <row r="94" spans="1:13" ht="15.75" thickBot="1" x14ac:dyDescent="0.3">
      <c r="A94" s="10"/>
      <c r="B94" s="95" t="s">
        <v>172</v>
      </c>
    </row>
    <row r="95" spans="1:13" ht="15.75" thickBot="1" x14ac:dyDescent="0.3">
      <c r="A95" s="63" t="s">
        <v>259</v>
      </c>
      <c r="B95" s="34" t="s">
        <v>189</v>
      </c>
      <c r="C95" s="35"/>
      <c r="D95" s="35"/>
      <c r="E95" s="22"/>
      <c r="F95" s="49" t="s">
        <v>174</v>
      </c>
      <c r="G95" s="46">
        <v>135.19999999999999</v>
      </c>
      <c r="H95" s="46">
        <v>135.19999999999999</v>
      </c>
      <c r="I95" s="49" t="s">
        <v>175</v>
      </c>
      <c r="J95" s="46">
        <v>140.5</v>
      </c>
      <c r="K95" s="46">
        <v>140.5</v>
      </c>
    </row>
    <row r="96" spans="1:13" ht="15.75" thickBot="1" x14ac:dyDescent="0.3">
      <c r="A96" s="63" t="s">
        <v>260</v>
      </c>
      <c r="B96" s="34" t="s">
        <v>190</v>
      </c>
      <c r="C96" s="35"/>
      <c r="D96" s="35"/>
      <c r="E96" s="22"/>
      <c r="F96" s="49" t="s">
        <v>178</v>
      </c>
      <c r="G96" s="46">
        <v>216.2</v>
      </c>
      <c r="H96" s="46">
        <v>216.2</v>
      </c>
      <c r="I96" s="49" t="s">
        <v>176</v>
      </c>
      <c r="J96" s="46">
        <v>216.2</v>
      </c>
      <c r="K96" s="46">
        <v>216.2</v>
      </c>
    </row>
    <row r="97" spans="1:13" ht="15.75" thickBot="1" x14ac:dyDescent="0.3">
      <c r="A97" s="63" t="s">
        <v>261</v>
      </c>
      <c r="B97" s="34" t="s">
        <v>177</v>
      </c>
      <c r="C97" s="35"/>
      <c r="D97" s="35"/>
      <c r="E97" s="22"/>
      <c r="F97" s="42" t="s">
        <v>179</v>
      </c>
      <c r="G97" s="57">
        <f>IF(G74&lt;=1,1,IF(G74&gt;=2,1.333,2*(1+G74/2)/3))</f>
        <v>1</v>
      </c>
      <c r="H97" s="57">
        <f>IF(H74&lt;=1,1,IF(H74&gt;=2,1.333,2*(1+H74/2)/3))</f>
        <v>1</v>
      </c>
      <c r="I97" s="42" t="s">
        <v>180</v>
      </c>
      <c r="J97" s="57">
        <f>IF(J74&lt;=1,1,IF(J74&gt;=2,1.333,2*(1+J74/2)/3))</f>
        <v>1</v>
      </c>
      <c r="K97" s="57">
        <f>IF(K74&lt;=1,1,IF(K74&gt;=2,1.333,2*(1+K74/2)/3))</f>
        <v>1</v>
      </c>
    </row>
    <row r="98" spans="1:13" ht="15.75" thickBot="1" x14ac:dyDescent="0.3">
      <c r="B98" s="95" t="s">
        <v>191</v>
      </c>
    </row>
    <row r="99" spans="1:13" ht="15.75" thickBot="1" x14ac:dyDescent="0.3">
      <c r="A99" s="63" t="s">
        <v>262</v>
      </c>
      <c r="B99" s="34" t="s">
        <v>181</v>
      </c>
      <c r="C99" s="35"/>
      <c r="D99" s="35"/>
      <c r="E99" s="22"/>
      <c r="F99" s="49"/>
      <c r="G99" s="56" t="str">
        <f>IF(G93&lt;=G95,"OK","eror")</f>
        <v>eror</v>
      </c>
      <c r="H99" s="69" t="str">
        <f>IF(H93&lt;=H95,"OK","eror")</f>
        <v>OK</v>
      </c>
      <c r="I99" s="49"/>
      <c r="J99" s="56" t="str">
        <f>IF(J93&lt;=J95,"OK","eror")</f>
        <v>eror</v>
      </c>
      <c r="K99" s="69" t="str">
        <f>IF(K93&lt;=K95,"OK","eror")</f>
        <v>OK</v>
      </c>
    </row>
    <row r="100" spans="1:13" ht="15.75" thickBot="1" x14ac:dyDescent="0.3">
      <c r="A100" s="63" t="s">
        <v>263</v>
      </c>
      <c r="B100" s="34" t="s">
        <v>182</v>
      </c>
      <c r="C100" s="35"/>
      <c r="D100" s="35"/>
      <c r="E100" s="22"/>
      <c r="F100" s="49"/>
      <c r="G100" s="56" t="str">
        <f>IF(G92&lt;=G96,"OK","eror")</f>
        <v>eror</v>
      </c>
      <c r="H100" s="69" t="str">
        <f>IF(H92&lt;=H96,"OK","eror")</f>
        <v>OK</v>
      </c>
      <c r="I100" s="49"/>
      <c r="J100" s="56" t="str">
        <f>IF(J92&lt;=J96,"OK","eror")</f>
        <v>eror</v>
      </c>
      <c r="K100" s="69" t="str">
        <f>IF(K92&lt;=K96,"OK","eror")</f>
        <v>OK</v>
      </c>
    </row>
    <row r="102" spans="1:13" x14ac:dyDescent="0.25">
      <c r="B102"/>
      <c r="F102"/>
      <c r="M102" s="6"/>
    </row>
    <row r="103" spans="1:13" x14ac:dyDescent="0.25">
      <c r="A103" s="7"/>
      <c r="B103" s="12"/>
      <c r="C103" s="7"/>
      <c r="D103" s="11"/>
      <c r="E103" s="9"/>
      <c r="F103" s="9"/>
      <c r="G103" s="9"/>
      <c r="H103" s="8"/>
      <c r="I103" s="8"/>
      <c r="J103" s="8"/>
    </row>
  </sheetData>
  <phoneticPr fontId="0" type="noConversion"/>
  <pageMargins left="0.59055118110236227" right="0.23622047244094491" top="0.70866141732283472" bottom="0.31496062992125984" header="0.51181102362204722" footer="0.51181102362204722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16250" r:id="rId4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250" r:id="rId4"/>
      </mc:Fallback>
    </mc:AlternateContent>
    <mc:AlternateContent xmlns:mc="http://schemas.openxmlformats.org/markup-compatibility/2006">
      <mc:Choice Requires="x14">
        <oleObject progId="Equation.DSMT4" shapeId="16394" r:id="rId6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394" r:id="rId6"/>
      </mc:Fallback>
    </mc:AlternateContent>
    <mc:AlternateContent xmlns:mc="http://schemas.openxmlformats.org/markup-compatibility/2006">
      <mc:Choice Requires="x14">
        <oleObject progId="Equation.DSMT4" shapeId="16419" r:id="rId7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19" r:id="rId7"/>
      </mc:Fallback>
    </mc:AlternateContent>
    <mc:AlternateContent xmlns:mc="http://schemas.openxmlformats.org/markup-compatibility/2006">
      <mc:Choice Requires="x14">
        <oleObject progId="Equation.DSMT4" shapeId="16426" r:id="rId8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26" r:id="rId8"/>
      </mc:Fallback>
    </mc:AlternateContent>
    <mc:AlternateContent xmlns:mc="http://schemas.openxmlformats.org/markup-compatibility/2006">
      <mc:Choice Requires="x14">
        <oleObject progId="Equation.DSMT4" shapeId="16433" r:id="rId9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33" r:id="rId9"/>
      </mc:Fallback>
    </mc:AlternateContent>
    <mc:AlternateContent xmlns:mc="http://schemas.openxmlformats.org/markup-compatibility/2006">
      <mc:Choice Requires="x14">
        <oleObject progId="Equation.DSMT4" shapeId="16440" r:id="rId10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40" r:id="rId10"/>
      </mc:Fallback>
    </mc:AlternateContent>
    <mc:AlternateContent xmlns:mc="http://schemas.openxmlformats.org/markup-compatibility/2006">
      <mc:Choice Requires="x14">
        <oleObject progId="Equation.DSMT4" shapeId="16447" r:id="rId11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47" r:id="rId11"/>
      </mc:Fallback>
    </mc:AlternateContent>
    <mc:AlternateContent xmlns:mc="http://schemas.openxmlformats.org/markup-compatibility/2006">
      <mc:Choice Requires="x14">
        <oleObject progId="Equation.DSMT4" shapeId="16454" r:id="rId12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454" r:id="rId12"/>
      </mc:Fallback>
    </mc:AlternateContent>
    <mc:AlternateContent xmlns:mc="http://schemas.openxmlformats.org/markup-compatibility/2006">
      <mc:Choice Requires="x14">
        <oleObject progId="Equation.DSMT4" shapeId="16592" r:id="rId13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2" r:id="rId13"/>
      </mc:Fallback>
    </mc:AlternateContent>
    <mc:AlternateContent xmlns:mc="http://schemas.openxmlformats.org/markup-compatibility/2006">
      <mc:Choice Requires="x14">
        <oleObject progId="Equation.DSMT4" shapeId="16593" r:id="rId14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3" r:id="rId14"/>
      </mc:Fallback>
    </mc:AlternateContent>
    <mc:AlternateContent xmlns:mc="http://schemas.openxmlformats.org/markup-compatibility/2006">
      <mc:Choice Requires="x14">
        <oleObject progId="Equation.DSMT4" shapeId="16594" r:id="rId15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4" r:id="rId15"/>
      </mc:Fallback>
    </mc:AlternateContent>
    <mc:AlternateContent xmlns:mc="http://schemas.openxmlformats.org/markup-compatibility/2006">
      <mc:Choice Requires="x14">
        <oleObject progId="Equation.DSMT4" shapeId="16595" r:id="rId16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5" r:id="rId16"/>
      </mc:Fallback>
    </mc:AlternateContent>
    <mc:AlternateContent xmlns:mc="http://schemas.openxmlformats.org/markup-compatibility/2006">
      <mc:Choice Requires="x14">
        <oleObject progId="Equation.DSMT4" shapeId="16596" r:id="rId17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6" r:id="rId17"/>
      </mc:Fallback>
    </mc:AlternateContent>
    <mc:AlternateContent xmlns:mc="http://schemas.openxmlformats.org/markup-compatibility/2006">
      <mc:Choice Requires="x14">
        <oleObject progId="Equation.DSMT4" shapeId="16597" r:id="rId18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7" r:id="rId18"/>
      </mc:Fallback>
    </mc:AlternateContent>
    <mc:AlternateContent xmlns:mc="http://schemas.openxmlformats.org/markup-compatibility/2006">
      <mc:Choice Requires="x14">
        <oleObject progId="Equation.DSMT4" shapeId="16598" r:id="rId19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8" r:id="rId19"/>
      </mc:Fallback>
    </mc:AlternateContent>
    <mc:AlternateContent xmlns:mc="http://schemas.openxmlformats.org/markup-compatibility/2006">
      <mc:Choice Requires="x14">
        <oleObject progId="Equation.DSMT4" shapeId="16599" r:id="rId20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599" r:id="rId20"/>
      </mc:Fallback>
    </mc:AlternateContent>
    <mc:AlternateContent xmlns:mc="http://schemas.openxmlformats.org/markup-compatibility/2006">
      <mc:Choice Requires="x14">
        <oleObject progId="Equation.DSMT4" shapeId="16735" r:id="rId21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35" r:id="rId21"/>
      </mc:Fallback>
    </mc:AlternateContent>
    <mc:AlternateContent xmlns:mc="http://schemas.openxmlformats.org/markup-compatibility/2006">
      <mc:Choice Requires="x14">
        <oleObject progId="Equation.DSMT4" shapeId="16736" r:id="rId22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36" r:id="rId22"/>
      </mc:Fallback>
    </mc:AlternateContent>
    <mc:AlternateContent xmlns:mc="http://schemas.openxmlformats.org/markup-compatibility/2006">
      <mc:Choice Requires="x14">
        <oleObject progId="Equation.DSMT4" shapeId="16737" r:id="rId23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37" r:id="rId23"/>
      </mc:Fallback>
    </mc:AlternateContent>
    <mc:AlternateContent xmlns:mc="http://schemas.openxmlformats.org/markup-compatibility/2006">
      <mc:Choice Requires="x14">
        <oleObject progId="Equation.DSMT4" shapeId="16738" r:id="rId24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38" r:id="rId24"/>
      </mc:Fallback>
    </mc:AlternateContent>
    <mc:AlternateContent xmlns:mc="http://schemas.openxmlformats.org/markup-compatibility/2006">
      <mc:Choice Requires="x14">
        <oleObject progId="Equation.DSMT4" shapeId="16739" r:id="rId25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39" r:id="rId25"/>
      </mc:Fallback>
    </mc:AlternateContent>
    <mc:AlternateContent xmlns:mc="http://schemas.openxmlformats.org/markup-compatibility/2006">
      <mc:Choice Requires="x14">
        <oleObject progId="Equation.DSMT4" shapeId="16740" r:id="rId26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0" r:id="rId26"/>
      </mc:Fallback>
    </mc:AlternateContent>
    <mc:AlternateContent xmlns:mc="http://schemas.openxmlformats.org/markup-compatibility/2006">
      <mc:Choice Requires="x14">
        <oleObject progId="Equation.DSMT4" shapeId="16741" r:id="rId27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1" r:id="rId27"/>
      </mc:Fallback>
    </mc:AlternateContent>
    <mc:AlternateContent xmlns:mc="http://schemas.openxmlformats.org/markup-compatibility/2006">
      <mc:Choice Requires="x14">
        <oleObject progId="Equation.DSMT4" shapeId="16742" r:id="rId28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2" r:id="rId28"/>
      </mc:Fallback>
    </mc:AlternateContent>
    <mc:AlternateContent xmlns:mc="http://schemas.openxmlformats.org/markup-compatibility/2006">
      <mc:Choice Requires="x14">
        <oleObject progId="Equation.DSMT4" shapeId="16743" r:id="rId29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3" r:id="rId29"/>
      </mc:Fallback>
    </mc:AlternateContent>
    <mc:AlternateContent xmlns:mc="http://schemas.openxmlformats.org/markup-compatibility/2006">
      <mc:Choice Requires="x14">
        <oleObject progId="Equation.DSMT4" shapeId="16744" r:id="rId30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4" r:id="rId30"/>
      </mc:Fallback>
    </mc:AlternateContent>
    <mc:AlternateContent xmlns:mc="http://schemas.openxmlformats.org/markup-compatibility/2006">
      <mc:Choice Requires="x14">
        <oleObject progId="Equation.DSMT4" shapeId="16745" r:id="rId31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5" r:id="rId31"/>
      </mc:Fallback>
    </mc:AlternateContent>
    <mc:AlternateContent xmlns:mc="http://schemas.openxmlformats.org/markup-compatibility/2006">
      <mc:Choice Requires="x14">
        <oleObject progId="Equation.DSMT4" shapeId="16746" r:id="rId32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6" r:id="rId32"/>
      </mc:Fallback>
    </mc:AlternateContent>
    <mc:AlternateContent xmlns:mc="http://schemas.openxmlformats.org/markup-compatibility/2006">
      <mc:Choice Requires="x14">
        <oleObject progId="Equation.DSMT4" shapeId="16747" r:id="rId33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7" r:id="rId33"/>
      </mc:Fallback>
    </mc:AlternateContent>
    <mc:AlternateContent xmlns:mc="http://schemas.openxmlformats.org/markup-compatibility/2006">
      <mc:Choice Requires="x14">
        <oleObject progId="Equation.DSMT4" shapeId="16748" r:id="rId34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8" r:id="rId34"/>
      </mc:Fallback>
    </mc:AlternateContent>
    <mc:AlternateContent xmlns:mc="http://schemas.openxmlformats.org/markup-compatibility/2006">
      <mc:Choice Requires="x14">
        <oleObject progId="Equation.DSMT4" shapeId="16749" r:id="rId35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49" r:id="rId35"/>
      </mc:Fallback>
    </mc:AlternateContent>
    <mc:AlternateContent xmlns:mc="http://schemas.openxmlformats.org/markup-compatibility/2006">
      <mc:Choice Requires="x14">
        <oleObject progId="Equation.DSMT4" shapeId="16750" r:id="rId36">
          <objectPr defaultSize="0" autoPict="0" r:id="rId5">
            <anchor moveWithCells="1" sizeWithCells="1">
              <from>
                <xdr:col>5</xdr:col>
                <xdr:colOff>180975</xdr:colOff>
                <xdr:row>96</xdr:row>
                <xdr:rowOff>180975</xdr:rowOff>
              </from>
              <to>
                <xdr:col>6</xdr:col>
                <xdr:colOff>200025</xdr:colOff>
                <xdr:row>98</xdr:row>
                <xdr:rowOff>9525</xdr:rowOff>
              </to>
            </anchor>
          </objectPr>
        </oleObject>
      </mc:Choice>
      <mc:Fallback>
        <oleObject progId="Equation.DSMT4" shapeId="16750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MEHANIKA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EXCELOVA PODRSKA KNJIGE</dc:title>
  <dc:subject>Dobosasti razmenjivaci toplote</dc:subject>
  <dc:creator>Rikalovic Milan</dc:creator>
  <cp:keywords>Razmenjivac toplote</cp:keywords>
  <dc:description>Aplikacija za podrsku knjige_x000d_
DOBOSASTI RAZMENJIVACI TOPLOTE_x000d_
Verzija 2</dc:description>
  <cp:lastModifiedBy>Milan</cp:lastModifiedBy>
  <cp:lastPrinted>2024-09-19T10:49:28Z</cp:lastPrinted>
  <dcterms:created xsi:type="dcterms:W3CDTF">1999-12-25T14:09:33Z</dcterms:created>
  <dcterms:modified xsi:type="dcterms:W3CDTF">2024-09-19T10:49:48Z</dcterms:modified>
  <cp:category>Excelova aplikacija</cp:category>
</cp:coreProperties>
</file>